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808d0e919da7fc0a/Escritorio/"/>
    </mc:Choice>
  </mc:AlternateContent>
  <xr:revisionPtr revIDLastSave="1572" documentId="11_AD4D2F04E46CFB4ACB3E20171516E392693EDF08" xr6:coauthVersionLast="47" xr6:coauthVersionMax="47" xr10:uidLastSave="{F6D2B678-4D48-4388-8462-D31EB896272C}"/>
  <bookViews>
    <workbookView xWindow="-98" yWindow="-98" windowWidth="19396" windowHeight="11475" tabRatio="521" xr2:uid="{00000000-000D-0000-FFFF-FFFF00000000}"/>
  </bookViews>
  <sheets>
    <sheet name="Simples" sheetId="1" r:id="rId1"/>
    <sheet name="Min. Precio de Venta" sheetId="2" r:id="rId2"/>
    <sheet name="Otra forma de prestamo" sheetId="3" r:id="rId3"/>
    <sheet name="Julio 202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3" i="4" l="1"/>
  <c r="K61" i="4"/>
  <c r="K60" i="4"/>
  <c r="K59" i="4"/>
  <c r="K58" i="4"/>
  <c r="K57" i="4"/>
  <c r="K56" i="4"/>
  <c r="Q47" i="4"/>
  <c r="R50" i="4"/>
  <c r="J42" i="4"/>
  <c r="O24" i="4"/>
  <c r="O25" i="4" s="1"/>
  <c r="O34" i="4" s="1"/>
  <c r="O39" i="4" s="1"/>
  <c r="O41" i="4" s="1"/>
  <c r="AA16" i="4"/>
  <c r="AB10" i="4"/>
  <c r="K42" i="4"/>
  <c r="L42" i="4" s="1"/>
  <c r="M42" i="4" s="1"/>
  <c r="N42" i="4" s="1"/>
  <c r="K41" i="4"/>
  <c r="L41" i="4"/>
  <c r="M41" i="4"/>
  <c r="N41" i="4"/>
  <c r="J41" i="4"/>
  <c r="K39" i="4"/>
  <c r="L39" i="4"/>
  <c r="M39" i="4"/>
  <c r="N39" i="4"/>
  <c r="J39" i="4"/>
  <c r="L40" i="4"/>
  <c r="M40" i="4" s="1"/>
  <c r="N40" i="4" s="1"/>
  <c r="O40" i="4" s="1"/>
  <c r="P40" i="4" s="1"/>
  <c r="K40" i="4"/>
  <c r="O38" i="4"/>
  <c r="P38" i="4"/>
  <c r="N38" i="4"/>
  <c r="L37" i="4"/>
  <c r="M37" i="4"/>
  <c r="N37" i="4"/>
  <c r="O37" i="4"/>
  <c r="P37" i="4"/>
  <c r="K37" i="4"/>
  <c r="M36" i="4"/>
  <c r="N36" i="4"/>
  <c r="O36" i="4"/>
  <c r="P36" i="4"/>
  <c r="L36" i="4"/>
  <c r="V38" i="4"/>
  <c r="W38" i="4" s="1"/>
  <c r="X38" i="4" s="1"/>
  <c r="Y38" i="4" s="1"/>
  <c r="Z38" i="4" s="1"/>
  <c r="U38" i="4"/>
  <c r="V39" i="4" s="1"/>
  <c r="U39" i="4"/>
  <c r="W37" i="4"/>
  <c r="X37" i="4"/>
  <c r="Y37" i="4"/>
  <c r="Z37" i="4"/>
  <c r="V37" i="4"/>
  <c r="W39" i="4"/>
  <c r="T38" i="4"/>
  <c r="T36" i="4"/>
  <c r="J35" i="4"/>
  <c r="N34" i="4"/>
  <c r="J34" i="4"/>
  <c r="N25" i="4"/>
  <c r="J25" i="4"/>
  <c r="P23" i="4"/>
  <c r="K21" i="4"/>
  <c r="L21" i="4"/>
  <c r="M21" i="4"/>
  <c r="N21" i="4"/>
  <c r="O21" i="4"/>
  <c r="J21" i="4"/>
  <c r="P22" i="4"/>
  <c r="J20" i="4"/>
  <c r="L18" i="4"/>
  <c r="T10" i="4"/>
  <c r="AA9" i="4"/>
  <c r="Y9" i="4"/>
  <c r="AB8" i="4"/>
  <c r="AB7" i="4"/>
  <c r="AB5" i="4"/>
  <c r="V6" i="4"/>
  <c r="V10" i="4" s="1"/>
  <c r="L14" i="4" s="1"/>
  <c r="W6" i="4"/>
  <c r="W10" i="4" s="1"/>
  <c r="M14" i="4" s="1"/>
  <c r="M18" i="4" s="1"/>
  <c r="X6" i="4"/>
  <c r="X10" i="4" s="1"/>
  <c r="N14" i="4" s="1"/>
  <c r="N18" i="4" s="1"/>
  <c r="Y6" i="4"/>
  <c r="Y10" i="4" s="1"/>
  <c r="O14" i="4" s="1"/>
  <c r="O18" i="4" s="1"/>
  <c r="Z6" i="4"/>
  <c r="Z10" i="4" s="1"/>
  <c r="P14" i="4" s="1"/>
  <c r="P18" i="4" s="1"/>
  <c r="U6" i="4"/>
  <c r="AA5" i="4"/>
  <c r="V8" i="4"/>
  <c r="W8" i="4"/>
  <c r="X8" i="4"/>
  <c r="Y8" i="4"/>
  <c r="Z9" i="4" s="1"/>
  <c r="U8" i="4"/>
  <c r="U10" i="4" s="1"/>
  <c r="K14" i="4" s="1"/>
  <c r="K18" i="4" s="1"/>
  <c r="V7" i="4"/>
  <c r="W7" i="4"/>
  <c r="X7" i="4"/>
  <c r="Y7" i="4"/>
  <c r="Z7" i="4"/>
  <c r="U7" i="4"/>
  <c r="N11" i="4"/>
  <c r="O11" i="4"/>
  <c r="L12" i="4"/>
  <c r="M12" i="4"/>
  <c r="N12" i="4"/>
  <c r="O12" i="4"/>
  <c r="P12" i="4"/>
  <c r="M10" i="4"/>
  <c r="N10" i="4"/>
  <c r="K12" i="4"/>
  <c r="K10" i="4"/>
  <c r="L9" i="4"/>
  <c r="M9" i="4"/>
  <c r="M11" i="4" s="1"/>
  <c r="N9" i="4"/>
  <c r="N13" i="4" s="1"/>
  <c r="O9" i="4"/>
  <c r="P9" i="4"/>
  <c r="P11" i="4" s="1"/>
  <c r="K9" i="4"/>
  <c r="K4" i="4"/>
  <c r="O10" i="4" s="1"/>
  <c r="M23" i="3"/>
  <c r="N23" i="3"/>
  <c r="O23" i="3"/>
  <c r="P23" i="3"/>
  <c r="Q23" i="3"/>
  <c r="L20" i="3"/>
  <c r="Q20" i="3" s="1"/>
  <c r="L23" i="3"/>
  <c r="P22" i="3"/>
  <c r="P19" i="3"/>
  <c r="Q21" i="3"/>
  <c r="P21" i="3"/>
  <c r="W13" i="3"/>
  <c r="X13" i="3"/>
  <c r="Y13" i="3"/>
  <c r="V13" i="3"/>
  <c r="W12" i="3"/>
  <c r="X12" i="3"/>
  <c r="Y12" i="3"/>
  <c r="Z12" i="3"/>
  <c r="V12" i="3"/>
  <c r="W11" i="3"/>
  <c r="X11" i="3"/>
  <c r="Y11" i="3"/>
  <c r="Z11" i="3"/>
  <c r="V11" i="3"/>
  <c r="Y14" i="3"/>
  <c r="Z14" i="3" s="1"/>
  <c r="U15" i="3"/>
  <c r="L19" i="3" s="1"/>
  <c r="N12" i="3"/>
  <c r="O12" i="3"/>
  <c r="P12" i="3"/>
  <c r="Q12" i="3"/>
  <c r="M12" i="3"/>
  <c r="N11" i="3"/>
  <c r="O11" i="3"/>
  <c r="P11" i="3"/>
  <c r="Q11" i="3"/>
  <c r="M11" i="3"/>
  <c r="N10" i="3"/>
  <c r="O10" i="3"/>
  <c r="P10" i="3"/>
  <c r="Q10" i="3"/>
  <c r="M10" i="3"/>
  <c r="O9" i="3"/>
  <c r="P9" i="3" s="1"/>
  <c r="Q9" i="3" s="1"/>
  <c r="N9" i="3"/>
  <c r="M9" i="3"/>
  <c r="P95" i="1"/>
  <c r="V84" i="1"/>
  <c r="N65" i="2"/>
  <c r="N64" i="2"/>
  <c r="N63" i="2"/>
  <c r="N62" i="2"/>
  <c r="N61" i="2"/>
  <c r="N60" i="2"/>
  <c r="N55" i="2"/>
  <c r="N49" i="2"/>
  <c r="N48" i="2"/>
  <c r="N47" i="2"/>
  <c r="E41" i="2"/>
  <c r="F41" i="2"/>
  <c r="G41" i="2"/>
  <c r="H41" i="2"/>
  <c r="I41" i="2"/>
  <c r="D41" i="2"/>
  <c r="Q23" i="2"/>
  <c r="Q28" i="2"/>
  <c r="J21" i="2"/>
  <c r="L21" i="2"/>
  <c r="O42" i="4" l="1"/>
  <c r="X39" i="4"/>
  <c r="O13" i="4"/>
  <c r="O15" i="4" s="1"/>
  <c r="K13" i="4"/>
  <c r="K15" i="4" s="1"/>
  <c r="N15" i="4"/>
  <c r="L10" i="4"/>
  <c r="L13" i="4" s="1"/>
  <c r="L15" i="4" s="1"/>
  <c r="L11" i="4"/>
  <c r="M13" i="4"/>
  <c r="M15" i="4" s="1"/>
  <c r="K11" i="4"/>
  <c r="P13" i="4"/>
  <c r="P15" i="4" s="1"/>
  <c r="P10" i="4"/>
  <c r="AB9" i="4"/>
  <c r="AA8" i="4"/>
  <c r="AA7" i="4"/>
  <c r="AA6" i="4"/>
  <c r="AA10" i="4" s="1"/>
  <c r="AA13" i="3"/>
  <c r="V15" i="3"/>
  <c r="M13" i="3" s="1"/>
  <c r="Y15" i="3"/>
  <c r="P13" i="3" s="1"/>
  <c r="AA11" i="3"/>
  <c r="W15" i="3"/>
  <c r="N13" i="3" s="1"/>
  <c r="AA12" i="3"/>
  <c r="AA14" i="3"/>
  <c r="X15" i="3"/>
  <c r="O13" i="3" s="1"/>
  <c r="Z15" i="3"/>
  <c r="Q13" i="3" s="1"/>
  <c r="O16" i="2"/>
  <c r="N16" i="2"/>
  <c r="P16" i="2"/>
  <c r="Q16" i="2"/>
  <c r="M16" i="2"/>
  <c r="AB11" i="2"/>
  <c r="V8" i="2"/>
  <c r="W8" i="2"/>
  <c r="X8" i="2"/>
  <c r="Y8" i="2"/>
  <c r="M6" i="2"/>
  <c r="M9" i="2" s="1"/>
  <c r="U8" i="2"/>
  <c r="V7" i="2"/>
  <c r="W7" i="2"/>
  <c r="Z7" i="2" s="1"/>
  <c r="AA7" i="2" s="1"/>
  <c r="X7" i="2"/>
  <c r="Y7" i="2"/>
  <c r="U7" i="2"/>
  <c r="N56" i="2"/>
  <c r="N54" i="2"/>
  <c r="D43" i="2"/>
  <c r="D44" i="2" s="1"/>
  <c r="E42" i="2"/>
  <c r="E43" i="2" s="1"/>
  <c r="Q10" i="2"/>
  <c r="P10" i="2"/>
  <c r="O10" i="2"/>
  <c r="N10" i="2"/>
  <c r="X9" i="2"/>
  <c r="P14" i="2" s="1"/>
  <c r="P18" i="2" s="1"/>
  <c r="T9" i="2"/>
  <c r="L20" i="2" s="1"/>
  <c r="L25" i="2" s="1"/>
  <c r="Q9" i="2"/>
  <c r="P9" i="2"/>
  <c r="O9" i="2"/>
  <c r="N9" i="2"/>
  <c r="Q8" i="2"/>
  <c r="P8" i="2"/>
  <c r="O8" i="2"/>
  <c r="N8" i="2"/>
  <c r="Y9" i="2"/>
  <c r="Q14" i="2" s="1"/>
  <c r="Q18" i="2" s="1"/>
  <c r="W9" i="2"/>
  <c r="O14" i="2" s="1"/>
  <c r="O18" i="2" s="1"/>
  <c r="Z6" i="2"/>
  <c r="AA6" i="2" s="1"/>
  <c r="Y39" i="4" l="1"/>
  <c r="L17" i="4"/>
  <c r="L19" i="4" s="1"/>
  <c r="L25" i="4" s="1"/>
  <c r="L34" i="4" s="1"/>
  <c r="P16" i="4"/>
  <c r="P17" i="4"/>
  <c r="P19" i="4" s="1"/>
  <c r="M17" i="4"/>
  <c r="M19" i="4" s="1"/>
  <c r="M25" i="4" s="1"/>
  <c r="M34" i="4" s="1"/>
  <c r="K17" i="4"/>
  <c r="K19" i="4" s="1"/>
  <c r="K25" i="4" s="1"/>
  <c r="O16" i="4"/>
  <c r="O17" i="4" s="1"/>
  <c r="O19" i="4" s="1"/>
  <c r="N16" i="4"/>
  <c r="N17" i="4" s="1"/>
  <c r="N19" i="4" s="1"/>
  <c r="AB6" i="4"/>
  <c r="Q14" i="3"/>
  <c r="Q17" i="3"/>
  <c r="N14" i="3"/>
  <c r="N17" i="3"/>
  <c r="O14" i="3"/>
  <c r="O17" i="3"/>
  <c r="P17" i="3"/>
  <c r="P14" i="3"/>
  <c r="M17" i="3"/>
  <c r="M14" i="3"/>
  <c r="AA15" i="3"/>
  <c r="N50" i="2"/>
  <c r="V9" i="2"/>
  <c r="N14" i="2" s="1"/>
  <c r="N18" i="2" s="1"/>
  <c r="Z8" i="2"/>
  <c r="AA8" i="2" s="1"/>
  <c r="AA9" i="2" s="1"/>
  <c r="M8" i="2"/>
  <c r="E44" i="2"/>
  <c r="N53" i="2"/>
  <c r="N57" i="2" s="1"/>
  <c r="F42" i="2"/>
  <c r="T18" i="2"/>
  <c r="M10" i="2"/>
  <c r="U9" i="2"/>
  <c r="M14" i="2" s="1"/>
  <c r="M18" i="2" s="1"/>
  <c r="K34" i="4" l="1"/>
  <c r="Z39" i="4"/>
  <c r="AA14" i="4"/>
  <c r="AA15" i="4" s="1"/>
  <c r="P24" i="4" s="1"/>
  <c r="P25" i="4" s="1"/>
  <c r="P34" i="4" s="1"/>
  <c r="P39" i="4" s="1"/>
  <c r="P41" i="4" s="1"/>
  <c r="P42" i="4" s="1"/>
  <c r="P15" i="3"/>
  <c r="P16" i="3" s="1"/>
  <c r="P18" i="3" s="1"/>
  <c r="O15" i="3"/>
  <c r="O16" i="3"/>
  <c r="O18" i="3" s="1"/>
  <c r="N15" i="3"/>
  <c r="N16" i="3"/>
  <c r="N18" i="3" s="1"/>
  <c r="M15" i="3"/>
  <c r="M16" i="3"/>
  <c r="M18" i="3" s="1"/>
  <c r="Q15" i="3"/>
  <c r="Q16" i="3" s="1"/>
  <c r="Q18" i="3" s="1"/>
  <c r="N21" i="2"/>
  <c r="P21" i="2"/>
  <c r="M21" i="2"/>
  <c r="O21" i="2"/>
  <c r="W19" i="2"/>
  <c r="O27" i="2" s="1"/>
  <c r="X19" i="2"/>
  <c r="U19" i="2"/>
  <c r="M27" i="2" s="1"/>
  <c r="V19" i="2"/>
  <c r="N27" i="2" s="1"/>
  <c r="Z9" i="2"/>
  <c r="AA10" i="2" s="1"/>
  <c r="Q24" i="2" s="1"/>
  <c r="F43" i="2"/>
  <c r="F44" i="2" s="1"/>
  <c r="G42" i="2"/>
  <c r="Q22" i="2"/>
  <c r="T20" i="2"/>
  <c r="U21" i="2" s="1"/>
  <c r="L26" i="2"/>
  <c r="L30" i="2" s="1"/>
  <c r="J27" i="4" l="1"/>
  <c r="Q27" i="2"/>
  <c r="P27" i="2"/>
  <c r="H42" i="2"/>
  <c r="G43" i="2"/>
  <c r="G44" i="2" s="1"/>
  <c r="M28" i="2"/>
  <c r="M29" i="2" s="1"/>
  <c r="U20" i="2"/>
  <c r="V21" i="2" s="1"/>
  <c r="H43" i="2" l="1"/>
  <c r="H44" i="2" s="1"/>
  <c r="I42" i="2"/>
  <c r="I43" i="2" s="1"/>
  <c r="V20" i="2"/>
  <c r="W21" i="2" s="1"/>
  <c r="N28" i="2"/>
  <c r="N29" i="2" s="1"/>
  <c r="I44" i="2" l="1"/>
  <c r="O28" i="2"/>
  <c r="O29" i="2" s="1"/>
  <c r="W20" i="2"/>
  <c r="X20" i="2" l="1"/>
  <c r="X21" i="2"/>
  <c r="P28" i="2" s="1"/>
  <c r="P29" i="2" s="1"/>
  <c r="Q29" i="2" l="1"/>
  <c r="D132" i="1"/>
  <c r="C132" i="1"/>
  <c r="D131" i="1"/>
  <c r="F131" i="1"/>
  <c r="G131" i="1"/>
  <c r="C131" i="1"/>
  <c r="E130" i="1"/>
  <c r="F130" i="1"/>
  <c r="G130" i="1"/>
  <c r="H130" i="1"/>
  <c r="D130" i="1"/>
  <c r="D128" i="1"/>
  <c r="F128" i="1"/>
  <c r="G128" i="1"/>
  <c r="C128" i="1"/>
  <c r="D121" i="1"/>
  <c r="E106" i="1"/>
  <c r="F106" i="1"/>
  <c r="G106" i="1"/>
  <c r="H106" i="1"/>
  <c r="D106" i="1"/>
  <c r="M104" i="1"/>
  <c r="D102" i="1"/>
  <c r="F102" i="1"/>
  <c r="G102" i="1"/>
  <c r="C102" i="1"/>
  <c r="R105" i="1"/>
  <c r="H104" i="1" s="1"/>
  <c r="O105" i="1"/>
  <c r="E104" i="1" s="1"/>
  <c r="P105" i="1"/>
  <c r="Q105" i="1"/>
  <c r="G104" i="1" s="1"/>
  <c r="N105" i="1"/>
  <c r="C103" i="1"/>
  <c r="F104" i="1"/>
  <c r="D104" i="1"/>
  <c r="S97" i="1"/>
  <c r="S99" i="1" s="1"/>
  <c r="O99" i="1"/>
  <c r="P99" i="1"/>
  <c r="E102" i="1" s="1"/>
  <c r="Q99" i="1"/>
  <c r="R99" i="1"/>
  <c r="N99" i="1"/>
  <c r="S98" i="1"/>
  <c r="S96" i="1"/>
  <c r="N93" i="1"/>
  <c r="P84" i="1"/>
  <c r="P86" i="1" s="1"/>
  <c r="P88" i="1" s="1"/>
  <c r="Q84" i="1"/>
  <c r="Q86" i="1" s="1"/>
  <c r="Q88" i="1" s="1"/>
  <c r="R84" i="1"/>
  <c r="S84" i="1"/>
  <c r="O84" i="1"/>
  <c r="N95" i="1"/>
  <c r="N94" i="1"/>
  <c r="P91" i="1"/>
  <c r="Q91" i="1"/>
  <c r="R91" i="1"/>
  <c r="S91" i="1"/>
  <c r="O91" i="1"/>
  <c r="P87" i="1"/>
  <c r="Q87" i="1"/>
  <c r="R87" i="1"/>
  <c r="S87" i="1"/>
  <c r="O87" i="1"/>
  <c r="R86" i="1"/>
  <c r="R88" i="1" s="1"/>
  <c r="R89" i="1" s="1"/>
  <c r="S86" i="1"/>
  <c r="S88" i="1" s="1"/>
  <c r="S89" i="1" s="1"/>
  <c r="O86" i="1"/>
  <c r="O88" i="1" s="1"/>
  <c r="O89" i="1" s="1"/>
  <c r="O90" i="1" s="1"/>
  <c r="O92" i="1" s="1"/>
  <c r="P85" i="1"/>
  <c r="Q85" i="1"/>
  <c r="R85" i="1"/>
  <c r="S85" i="1"/>
  <c r="O85" i="1"/>
  <c r="R83" i="1"/>
  <c r="P79" i="1"/>
  <c r="P83" i="1" s="1"/>
  <c r="Q79" i="1"/>
  <c r="Q83" i="1" s="1"/>
  <c r="R79" i="1"/>
  <c r="S79" i="1"/>
  <c r="S83" i="1" s="1"/>
  <c r="O79" i="1"/>
  <c r="O83" i="1" s="1"/>
  <c r="X77" i="1"/>
  <c r="Y77" i="1"/>
  <c r="Z77" i="1"/>
  <c r="AA77" i="1"/>
  <c r="W77" i="1"/>
  <c r="W78" i="1" s="1"/>
  <c r="X76" i="1"/>
  <c r="Y76" i="1"/>
  <c r="Z76" i="1"/>
  <c r="AB76" i="1" s="1"/>
  <c r="AA76" i="1"/>
  <c r="W76" i="1"/>
  <c r="V78" i="1"/>
  <c r="I61" i="1"/>
  <c r="I56" i="1"/>
  <c r="K50" i="1"/>
  <c r="K54" i="1" s="1"/>
  <c r="V51" i="1"/>
  <c r="V52" i="1" s="1"/>
  <c r="U51" i="1"/>
  <c r="U49" i="1"/>
  <c r="V49" i="1"/>
  <c r="U48" i="1"/>
  <c r="V48" i="1"/>
  <c r="O52" i="1" a="1"/>
  <c r="O52" i="1" s="1"/>
  <c r="W50" i="1"/>
  <c r="T50" i="1"/>
  <c r="S50" i="1"/>
  <c r="R50" i="1"/>
  <c r="Q50" i="1"/>
  <c r="P50" i="1"/>
  <c r="T49" i="1"/>
  <c r="S49" i="1"/>
  <c r="R49" i="1"/>
  <c r="W49" i="1" s="1"/>
  <c r="Q49" i="1"/>
  <c r="P49" i="1"/>
  <c r="T48" i="1"/>
  <c r="T52" i="1" s="1"/>
  <c r="I50" i="1" s="1"/>
  <c r="I54" i="1" s="1"/>
  <c r="S48" i="1"/>
  <c r="R48" i="1"/>
  <c r="Q48" i="1"/>
  <c r="P48" i="1"/>
  <c r="W48" i="1" s="1"/>
  <c r="W47" i="1"/>
  <c r="K48" i="1"/>
  <c r="J48" i="1"/>
  <c r="I37" i="1"/>
  <c r="I36" i="1"/>
  <c r="I35" i="1"/>
  <c r="AB4" i="1"/>
  <c r="V9" i="1" a="1"/>
  <c r="V9" i="1" s="1"/>
  <c r="N26" i="1" s="1"/>
  <c r="D56" i="1" s="1"/>
  <c r="X7" i="1"/>
  <c r="Y7" i="1"/>
  <c r="Z7" i="1"/>
  <c r="AA7" i="1"/>
  <c r="W7" i="1"/>
  <c r="X6" i="1"/>
  <c r="AB6" i="1" s="1"/>
  <c r="Y6" i="1"/>
  <c r="Y9" i="1" s="1"/>
  <c r="Q20" i="1" s="1"/>
  <c r="Q24" i="1" s="1"/>
  <c r="Z6" i="1"/>
  <c r="AA6" i="1"/>
  <c r="W6" i="1"/>
  <c r="W5" i="1"/>
  <c r="AB5" i="1" s="1"/>
  <c r="X5" i="1"/>
  <c r="Y5" i="1"/>
  <c r="Z5" i="1"/>
  <c r="AA5" i="1"/>
  <c r="AA9" i="1" s="1"/>
  <c r="S20" i="1" s="1"/>
  <c r="S24" i="1" s="1"/>
  <c r="P17" i="1"/>
  <c r="P19" i="1" s="1"/>
  <c r="S17" i="1"/>
  <c r="P16" i="1"/>
  <c r="F46" i="1" s="1"/>
  <c r="Q16" i="1"/>
  <c r="R16" i="1"/>
  <c r="H46" i="1" s="1"/>
  <c r="H47" i="1" s="1"/>
  <c r="H49" i="1" s="1"/>
  <c r="S16" i="1"/>
  <c r="O16" i="1"/>
  <c r="O17" i="1" s="1"/>
  <c r="H102" i="1" l="1"/>
  <c r="D120" i="1"/>
  <c r="C107" i="1"/>
  <c r="M106" i="1"/>
  <c r="N107" i="1" s="1"/>
  <c r="P89" i="1"/>
  <c r="P90" i="1" s="1"/>
  <c r="P92" i="1" s="1"/>
  <c r="Q90" i="1"/>
  <c r="Q92" i="1" s="1"/>
  <c r="Q89" i="1"/>
  <c r="S90" i="1"/>
  <c r="S92" i="1" s="1"/>
  <c r="R90" i="1"/>
  <c r="R92" i="1" s="1"/>
  <c r="AB78" i="1"/>
  <c r="AC76" i="1"/>
  <c r="AB77" i="1"/>
  <c r="AC77" i="1" s="1"/>
  <c r="R17" i="1"/>
  <c r="R19" i="1" s="1"/>
  <c r="R21" i="1" s="1"/>
  <c r="Q17" i="1"/>
  <c r="R52" i="1"/>
  <c r="G50" i="1" s="1"/>
  <c r="G54" i="1" s="1"/>
  <c r="P52" i="1"/>
  <c r="E50" i="1" s="1"/>
  <c r="E54" i="1" s="1"/>
  <c r="E46" i="1"/>
  <c r="E47" i="1" s="1"/>
  <c r="E49" i="1" s="1"/>
  <c r="E51" i="1" s="1"/>
  <c r="S52" i="1"/>
  <c r="H50" i="1" s="1"/>
  <c r="H54" i="1" s="1"/>
  <c r="N35" i="1"/>
  <c r="S19" i="1"/>
  <c r="S21" i="1" s="1"/>
  <c r="S22" i="1" s="1"/>
  <c r="S23" i="1" s="1"/>
  <c r="S25" i="1" s="1"/>
  <c r="I46" i="1"/>
  <c r="Z9" i="1"/>
  <c r="R20" i="1" s="1"/>
  <c r="R24" i="1" s="1"/>
  <c r="Q19" i="1"/>
  <c r="Q21" i="1" s="1"/>
  <c r="AB7" i="1"/>
  <c r="AB9" i="1" s="1"/>
  <c r="S28" i="1" s="1"/>
  <c r="G46" i="1"/>
  <c r="U52" i="1"/>
  <c r="J50" i="1" s="1"/>
  <c r="J54" i="1" s="1"/>
  <c r="X78" i="1"/>
  <c r="Y78" i="1"/>
  <c r="W51" i="1"/>
  <c r="W52" i="1" s="1"/>
  <c r="K58" i="1" s="1"/>
  <c r="H51" i="1"/>
  <c r="H52" i="1" s="1"/>
  <c r="H53" i="1" s="1"/>
  <c r="H55" i="1" s="1"/>
  <c r="Q52" i="1"/>
  <c r="F50" i="1" s="1"/>
  <c r="F54" i="1" s="1"/>
  <c r="F47" i="1"/>
  <c r="F49" i="1" s="1"/>
  <c r="G47" i="1"/>
  <c r="G49" i="1" s="1"/>
  <c r="G51" i="1" s="1"/>
  <c r="Q22" i="1"/>
  <c r="Q23" i="1" s="1"/>
  <c r="Q25" i="1" s="1"/>
  <c r="N27" i="1"/>
  <c r="N30" i="1" s="1"/>
  <c r="D33" i="1" s="1"/>
  <c r="O19" i="1"/>
  <c r="W9" i="1"/>
  <c r="O20" i="1" s="1"/>
  <c r="O24" i="1" s="1"/>
  <c r="X9" i="1"/>
  <c r="P20" i="1" s="1"/>
  <c r="P24" i="1" s="1"/>
  <c r="D105" i="1" l="1"/>
  <c r="N106" i="1"/>
  <c r="O107" i="1" s="1"/>
  <c r="R22" i="1"/>
  <c r="R23" i="1"/>
  <c r="R25" i="1" s="1"/>
  <c r="Q30" i="1"/>
  <c r="G33" i="1" s="1"/>
  <c r="P21" i="1"/>
  <c r="P23" i="1" s="1"/>
  <c r="P25" i="1" s="1"/>
  <c r="P30" i="1" s="1"/>
  <c r="F33" i="1" s="1"/>
  <c r="O27" i="1"/>
  <c r="P27" i="1" s="1"/>
  <c r="Q27" i="1" s="1"/>
  <c r="R27" i="1" s="1"/>
  <c r="D57" i="1"/>
  <c r="E57" i="1" s="1"/>
  <c r="F57" i="1" s="1"/>
  <c r="G57" i="1" s="1"/>
  <c r="H57" i="1" s="1"/>
  <c r="J57" i="1" s="1"/>
  <c r="S29" i="1" a="1"/>
  <c r="S29" i="1" s="1"/>
  <c r="S30" i="1" s="1"/>
  <c r="I33" i="1" s="1"/>
  <c r="I38" i="1" s="1"/>
  <c r="K46" i="1"/>
  <c r="J46" i="1"/>
  <c r="I47" i="1"/>
  <c r="N37" i="1"/>
  <c r="D34" i="1"/>
  <c r="D38" i="1" s="1"/>
  <c r="P36" i="1"/>
  <c r="F35" i="1" s="1"/>
  <c r="Q36" i="1"/>
  <c r="G35" i="1" s="1"/>
  <c r="R36" i="1"/>
  <c r="H35" i="1" s="1"/>
  <c r="O36" i="1"/>
  <c r="E35" i="1" s="1"/>
  <c r="AC78" i="1"/>
  <c r="AD78" i="1" s="1"/>
  <c r="AB80" i="1" s="1"/>
  <c r="AB81" i="1" s="1"/>
  <c r="AA78" i="1"/>
  <c r="Z78" i="1"/>
  <c r="F51" i="1"/>
  <c r="F52" i="1" s="1"/>
  <c r="F53" i="1" s="1"/>
  <c r="F55" i="1" s="1"/>
  <c r="F62" i="1" s="1"/>
  <c r="E52" i="1"/>
  <c r="E53" i="1" s="1"/>
  <c r="E55" i="1" s="1"/>
  <c r="E62" i="1" s="1"/>
  <c r="H62" i="1"/>
  <c r="G52" i="1"/>
  <c r="G53" i="1" s="1"/>
  <c r="G55" i="1" s="1"/>
  <c r="D62" i="1"/>
  <c r="K59" i="1" a="1"/>
  <c r="K59" i="1" s="1"/>
  <c r="P22" i="1"/>
  <c r="O21" i="1"/>
  <c r="D107" i="1" l="1"/>
  <c r="E105" i="1"/>
  <c r="O106" i="1"/>
  <c r="P107" i="1" s="1"/>
  <c r="G62" i="1"/>
  <c r="O37" i="1"/>
  <c r="O38" i="1"/>
  <c r="E36" i="1" s="1"/>
  <c r="E37" i="1" s="1"/>
  <c r="I49" i="1"/>
  <c r="I51" i="1" s="1"/>
  <c r="I52" i="1" s="1"/>
  <c r="J47" i="1"/>
  <c r="K47" i="1"/>
  <c r="K49" i="1" s="1"/>
  <c r="K51" i="1" s="1"/>
  <c r="K52" i="1" s="1"/>
  <c r="K53" i="1" s="1"/>
  <c r="K55" i="1" s="1"/>
  <c r="K62" i="1" s="1"/>
  <c r="J49" i="1"/>
  <c r="J51" i="1" s="1"/>
  <c r="R30" i="1"/>
  <c r="H33" i="1" s="1"/>
  <c r="O22" i="1"/>
  <c r="O23" i="1" s="1"/>
  <c r="O25" i="1" s="1"/>
  <c r="O30" i="1" s="1"/>
  <c r="E33" i="1" s="1"/>
  <c r="E38" i="1" s="1"/>
  <c r="F105" i="1" l="1"/>
  <c r="P106" i="1"/>
  <c r="Q107" i="1" s="1"/>
  <c r="E107" i="1"/>
  <c r="E128" i="1" s="1"/>
  <c r="E131" i="1" s="1"/>
  <c r="E132" i="1" s="1"/>
  <c r="F132" i="1" s="1"/>
  <c r="G132" i="1" s="1"/>
  <c r="J52" i="1"/>
  <c r="J53" i="1" s="1"/>
  <c r="J55" i="1" s="1"/>
  <c r="J62" i="1" s="1"/>
  <c r="I53" i="1"/>
  <c r="I55" i="1" s="1"/>
  <c r="I62" i="1" s="1"/>
  <c r="P38" i="1"/>
  <c r="F36" i="1" s="1"/>
  <c r="P37" i="1"/>
  <c r="G105" i="1" l="1"/>
  <c r="Q106" i="1"/>
  <c r="F107" i="1"/>
  <c r="Q37" i="1"/>
  <c r="Q38" i="1"/>
  <c r="G36" i="1" s="1"/>
  <c r="F37" i="1"/>
  <c r="F38" i="1"/>
  <c r="R107" i="1" l="1"/>
  <c r="H105" i="1" s="1"/>
  <c r="R106" i="1"/>
  <c r="G107" i="1"/>
  <c r="R37" i="1"/>
  <c r="R38" i="1"/>
  <c r="H36" i="1" s="1"/>
  <c r="G37" i="1"/>
  <c r="G38" i="1"/>
  <c r="H107" i="1" l="1"/>
  <c r="H128" i="1" s="1"/>
  <c r="H131" i="1" s="1"/>
  <c r="H132" i="1" s="1"/>
  <c r="H37" i="1"/>
  <c r="H38" i="1"/>
  <c r="J11" i="2"/>
  <c r="M13" i="2"/>
  <c r="M15" i="2" s="1"/>
  <c r="O11" i="2" l="1"/>
  <c r="O13" i="2" s="1"/>
  <c r="O15" i="2" s="1"/>
  <c r="P11" i="2"/>
  <c r="P13" i="2" s="1"/>
  <c r="P15" i="2" s="1"/>
  <c r="Q11" i="2"/>
  <c r="Q13" i="2" s="1"/>
  <c r="Q15" i="2" s="1"/>
  <c r="N11" i="2"/>
  <c r="N13" i="2" s="1"/>
  <c r="N15" i="2" s="1"/>
  <c r="M17" i="2"/>
  <c r="M19" i="2" s="1"/>
  <c r="M25" i="2" s="1"/>
  <c r="M30" i="2" s="1"/>
  <c r="N17" i="2" l="1"/>
  <c r="N19" i="2" s="1"/>
  <c r="N25" i="2" s="1"/>
  <c r="N30" i="2" s="1"/>
  <c r="Q17" i="2"/>
  <c r="Q19" i="2" s="1"/>
  <c r="Q25" i="2" s="1"/>
  <c r="Q30" i="2" s="1"/>
  <c r="P17" i="2"/>
  <c r="P19" i="2" s="1"/>
  <c r="P25" i="2" s="1"/>
  <c r="P30" i="2" s="1"/>
  <c r="O17" i="2"/>
  <c r="O19" i="2" s="1"/>
  <c r="O25" i="2" s="1"/>
  <c r="O30" i="2" s="1"/>
  <c r="S34" i="2"/>
  <c r="X34" i="2" s="1"/>
  <c r="S32" i="2" l="1"/>
  <c r="X3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0" authorId="0" shapeId="0" xr:uid="{3EC41E97-2DF1-4AAD-A169-E9112715EAF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Con el flujo del proyecto respondo el se pide uno porque me pide eso.
</t>
        </r>
      </text>
    </comment>
    <comment ref="C33" authorId="0" shapeId="0" xr:uid="{2E471EF9-F358-43A7-B34C-FAF04A2AF6F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Con el flujo del proyecto respondo el se pide uno porque me pide eso.
</t>
        </r>
      </text>
    </comment>
    <comment ref="C62" authorId="0" shapeId="0" xr:uid="{5CBC1357-2CAB-4684-9E11-DFDD86450B4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Con el flujo del proyecto respondo el se pide uno porque me pide eso.
</t>
        </r>
      </text>
    </comment>
    <comment ref="M99" authorId="0" shapeId="0" xr:uid="{B55D8B87-71D9-485A-8A4D-1F1B7E0ADE6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Punto de vista de la inversión en si misma
</t>
        </r>
      </text>
    </comment>
    <comment ref="B102" authorId="0" shapeId="0" xr:uid="{E3461DD1-BFCA-44BC-A6A5-4C14C4A480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Con el flujo del proyecto respondo el se pide uno porque me pide eso.
</t>
        </r>
      </text>
    </comment>
    <comment ref="C121" authorId="0" shapeId="0" xr:uid="{AFDAF61E-FE8F-4540-AF76-467EF8E1422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En unidades
Tambien tuve en cuenta los gastos sobre las ventas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alumno</author>
  </authors>
  <commentList>
    <comment ref="K13" authorId="0" shapeId="0" xr:uid="{470D3956-3C70-4507-9F7F-955B4CBF85EA}">
      <text>
        <r>
          <rPr>
            <b/>
            <sz val="9"/>
            <color indexed="81"/>
            <rFont val="Tahoma"/>
            <family val="2"/>
          </rPr>
          <t>alumno:</t>
        </r>
        <r>
          <rPr>
            <sz val="9"/>
            <color indexed="81"/>
            <rFont val="Tahoma"/>
            <family val="2"/>
          </rPr>
          <t xml:space="preserve">
Utilidad operativa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Y14" authorId="0" shapeId="0" xr:uid="{DB6786E5-AEC4-4518-9C2A-4EFD9C10096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Según el dato de letra en el año 4 hay que reponer la maquinaria.
</t>
        </r>
      </text>
    </comment>
    <comment ref="Y15" authorId="0" shapeId="0" xr:uid="{0E4325D9-A5A5-4427-A66A-4DE309717F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No sumo el de arriba porque es una compra,no una amortización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B10" authorId="0" shapeId="0" xr:uid="{E2CCF706-80F1-470D-BF0B-4F073BD2EDC5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Si vendo un bien antes del final del periodo, hay que calcularle el IRAE.
</t>
        </r>
      </text>
    </comment>
    <comment ref="O42" authorId="0" shapeId="0" xr:uid="{B61F7BB0-D69D-469D-A6F1-4C8F19C9E632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Payback Rule dinamico = Periodo de recupero. </t>
        </r>
      </text>
    </comment>
    <comment ref="I44" authorId="0" shapeId="0" xr:uid="{965E5A03-3073-4773-A714-05CB64C15402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Payback Rule dinamico = Periodo de recupero. 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<sst xmlns="http://schemas.openxmlformats.org/spreadsheetml/2006/main" count="403" uniqueCount="240">
  <si>
    <t>EBITDA</t>
  </si>
  <si>
    <r>
      <t xml:space="preserve">ganancia antes de impuestos, intereses y </t>
    </r>
    <r>
      <rPr>
        <sz val="11"/>
        <color rgb="FFFF0000"/>
        <rFont val="Calibri"/>
        <family val="2"/>
        <scheme val="minor"/>
      </rPr>
      <t>amortizaciones</t>
    </r>
  </si>
  <si>
    <t>EBIT</t>
  </si>
  <si>
    <t>ganancia antes de impuestos e intereses</t>
  </si>
  <si>
    <t>EAT</t>
  </si>
  <si>
    <t>ganancia después de impuestos</t>
  </si>
  <si>
    <t>Capacidad</t>
  </si>
  <si>
    <t>Precio</t>
  </si>
  <si>
    <t>Impuestos</t>
  </si>
  <si>
    <t>Unidades</t>
  </si>
  <si>
    <t>Precio de venta unitario</t>
  </si>
  <si>
    <t>año 0</t>
  </si>
  <si>
    <t>año 1</t>
  </si>
  <si>
    <t>año 2</t>
  </si>
  <si>
    <t>año 3</t>
  </si>
  <si>
    <t>año 4</t>
  </si>
  <si>
    <t>año 5</t>
  </si>
  <si>
    <t>Venta</t>
  </si>
  <si>
    <t>Año 1</t>
  </si>
  <si>
    <t>Año 2</t>
  </si>
  <si>
    <t>Año 3</t>
  </si>
  <si>
    <t>Año 4</t>
  </si>
  <si>
    <t>Año 5</t>
  </si>
  <si>
    <t>Año 0</t>
  </si>
  <si>
    <t>Costos Variables</t>
  </si>
  <si>
    <t>Costos Fijos</t>
  </si>
  <si>
    <t>Margen bruto</t>
  </si>
  <si>
    <t>Amortizaciones</t>
  </si>
  <si>
    <t>Ganancia despues de impuestos</t>
  </si>
  <si>
    <t>Ganancia antes de impuestos</t>
  </si>
  <si>
    <t>Resultado operativo</t>
  </si>
  <si>
    <t>Cuadro de amortización</t>
  </si>
  <si>
    <t>Terreno</t>
  </si>
  <si>
    <t>Obra Civil</t>
  </si>
  <si>
    <t>Instalaciones y equipo</t>
  </si>
  <si>
    <t>Vehiculos</t>
  </si>
  <si>
    <t>Vida util</t>
  </si>
  <si>
    <t>Inv. Fija</t>
  </si>
  <si>
    <t>Valor residual o valor en libros</t>
  </si>
  <si>
    <t>Inversión fija</t>
  </si>
  <si>
    <t>Inversión KT (Capital circulante)</t>
  </si>
  <si>
    <t xml:space="preserve">Capital circulante </t>
  </si>
  <si>
    <t>de las ventas</t>
  </si>
  <si>
    <t>Ejemplo porcentaje de las ventas</t>
  </si>
  <si>
    <t>FLUJO DEL PROYECTO</t>
  </si>
  <si>
    <t>Recuperación inv. Fija al vto</t>
  </si>
  <si>
    <t>Recuperación KT (Capital circulante)</t>
  </si>
  <si>
    <t>Prestamo</t>
  </si>
  <si>
    <t>Amortización</t>
  </si>
  <si>
    <t>Saldo</t>
  </si>
  <si>
    <t>Intereses</t>
  </si>
  <si>
    <t>CUADRO PRESTAMOS</t>
  </si>
  <si>
    <t>Prestamo / IRAE</t>
  </si>
  <si>
    <t>Intereses Prestamo</t>
  </si>
  <si>
    <t>Flujo del inversor</t>
  </si>
  <si>
    <t>Año 6</t>
  </si>
  <si>
    <t>Año 7</t>
  </si>
  <si>
    <t>Vehiculo nuevo</t>
  </si>
  <si>
    <t>IRAE a pagar</t>
  </si>
  <si>
    <t>Venta del vehiculo</t>
  </si>
  <si>
    <t>Cuadro de amortizaciones</t>
  </si>
  <si>
    <t>Inv fija</t>
  </si>
  <si>
    <t>Valor residual/Valor en libros</t>
  </si>
  <si>
    <t>Rescate</t>
  </si>
  <si>
    <t>Gan/Perd</t>
  </si>
  <si>
    <t>vida util</t>
  </si>
  <si>
    <t>Local</t>
  </si>
  <si>
    <t>Maquinas/Inst/Mueb</t>
  </si>
  <si>
    <t>Ganancia</t>
  </si>
  <si>
    <t>TOTAL</t>
  </si>
  <si>
    <t>IRAE</t>
  </si>
  <si>
    <t>Costo por unidad</t>
  </si>
  <si>
    <t>Precio de venta unidad</t>
  </si>
  <si>
    <t>Producción</t>
  </si>
  <si>
    <t>Gastos</t>
  </si>
  <si>
    <t>Gastos - 20% sobre ventas</t>
  </si>
  <si>
    <t>Costos fijos</t>
  </si>
  <si>
    <t>Inv. Estudios</t>
  </si>
  <si>
    <t>Inversión KT</t>
  </si>
  <si>
    <t>V. Res Inv Fija</t>
  </si>
  <si>
    <t>V. KT</t>
  </si>
  <si>
    <t>ajuste fiscal ganancia</t>
  </si>
  <si>
    <t>Capital trabajo</t>
  </si>
  <si>
    <t>Costos fijos (Personal y cargas sociales)</t>
  </si>
  <si>
    <t>Inv. Estudios (Estudio de mercado)</t>
  </si>
  <si>
    <t>Punto de vista del inversionista</t>
  </si>
  <si>
    <t>años</t>
  </si>
  <si>
    <t>TIR</t>
  </si>
  <si>
    <t>&gt; 12%</t>
  </si>
  <si>
    <t>Respuesta: SI</t>
  </si>
  <si>
    <t>P. de equilibrio año 1</t>
  </si>
  <si>
    <t>P. Equil =</t>
  </si>
  <si>
    <t>Costos fijos + Amortizaciones</t>
  </si>
  <si>
    <t>(Pr. Venta unitario - costo var unit)</t>
  </si>
  <si>
    <t>Respuesta: Si cumplimos con la condición ya que vendemos 100000 unidades el año 1</t>
  </si>
  <si>
    <t>TRR acomulada</t>
  </si>
  <si>
    <t>Flujo descontado</t>
  </si>
  <si>
    <t>Año recupero</t>
  </si>
  <si>
    <t>Supuesto TRR 10%</t>
  </si>
  <si>
    <t xml:space="preserve"> año 0</t>
  </si>
  <si>
    <t xml:space="preserve"> año 1</t>
  </si>
  <si>
    <t xml:space="preserve"> año 2</t>
  </si>
  <si>
    <t xml:space="preserve"> año 3</t>
  </si>
  <si>
    <t xml:space="preserve"> año 4</t>
  </si>
  <si>
    <t xml:space="preserve"> año 5</t>
  </si>
  <si>
    <t>Respuesta: Recupera en el año 5</t>
  </si>
  <si>
    <t>Se pide 1)</t>
  </si>
  <si>
    <t>AÑO</t>
  </si>
  <si>
    <t>Costo al inicio</t>
  </si>
  <si>
    <t>Valor en libros</t>
  </si>
  <si>
    <t>Valor Rescate</t>
  </si>
  <si>
    <t>Unidad fisicas</t>
  </si>
  <si>
    <t>terreno</t>
  </si>
  <si>
    <t>no se amortiza</t>
  </si>
  <si>
    <t>Precio de Vta Unitario</t>
  </si>
  <si>
    <t>obras civ</t>
  </si>
  <si>
    <t>Ventas</t>
  </si>
  <si>
    <t>Costos Var mp y mat</t>
  </si>
  <si>
    <t>Costos Var mo gast fab</t>
  </si>
  <si>
    <t>comison</t>
  </si>
  <si>
    <t>efecto fiscal</t>
  </si>
  <si>
    <t>AMORT.</t>
  </si>
  <si>
    <t>préstamo</t>
  </si>
  <si>
    <t>Flujo OPERATIVO</t>
  </si>
  <si>
    <t>amort cuotas</t>
  </si>
  <si>
    <t>INV. FIJA</t>
  </si>
  <si>
    <t xml:space="preserve">saldo </t>
  </si>
  <si>
    <t>CAPITAL DE TRABAJO</t>
  </si>
  <si>
    <t>interés</t>
  </si>
  <si>
    <t>VAL RES. DE INV FIJA</t>
  </si>
  <si>
    <t>VAL RES. CAP. DE TRABAJO</t>
  </si>
  <si>
    <t>EFECTO FISCAL</t>
  </si>
  <si>
    <t>FLUJO PROYECTO</t>
  </si>
  <si>
    <t>PRESTAMO</t>
  </si>
  <si>
    <t>AMORT</t>
  </si>
  <si>
    <t>INTERESES</t>
  </si>
  <si>
    <t>AJUSTE IRAE</t>
  </si>
  <si>
    <t>FLUJO INVERSOR</t>
  </si>
  <si>
    <t>VAN</t>
  </si>
  <si>
    <t>&gt; 0</t>
  </si>
  <si>
    <t>conviene</t>
  </si>
  <si>
    <t>&gt;0</t>
  </si>
  <si>
    <t>&gt;4%</t>
  </si>
  <si>
    <t>tir</t>
  </si>
  <si>
    <t>&gt; 8%</t>
  </si>
  <si>
    <t>1) es una buena opción</t>
  </si>
  <si>
    <t>2) año de recupero</t>
  </si>
  <si>
    <t>coef</t>
  </si>
  <si>
    <t>FLUJO ACTUALIZADO AL 8%</t>
  </si>
  <si>
    <t>AÑO RECUPERO</t>
  </si>
  <si>
    <t>recupera la inversión año 2016</t>
  </si>
  <si>
    <t>PARTE 4</t>
  </si>
  <si>
    <t>1)</t>
  </si>
  <si>
    <t>considerando solamente costos</t>
  </si>
  <si>
    <t>COSTOS FIJOS 2015</t>
  </si>
  <si>
    <t>COSTOS VARIABLES 2015</t>
  </si>
  <si>
    <t>CANTIDAD</t>
  </si>
  <si>
    <t>PRECIO DE VENTA</t>
  </si>
  <si>
    <t>2)</t>
  </si>
  <si>
    <t>considerando costos y depreciación</t>
  </si>
  <si>
    <t>DEPRECIACION</t>
  </si>
  <si>
    <t>considerando costos y depreciación e intereses</t>
  </si>
  <si>
    <t xml:space="preserve">Instal. </t>
  </si>
  <si>
    <t>MARGEN BRUTO</t>
  </si>
  <si>
    <t>GANANCIA ANT IMP.</t>
  </si>
  <si>
    <t>GANANCIA DESP IMP.</t>
  </si>
  <si>
    <t>Años del prestamo</t>
  </si>
  <si>
    <t>Var. Ventas año 2-3</t>
  </si>
  <si>
    <t>Cuando la cuota ya incluye los intereses</t>
  </si>
  <si>
    <t xml:space="preserve">Año </t>
  </si>
  <si>
    <t>Datos de letra</t>
  </si>
  <si>
    <t>Ventas año 1</t>
  </si>
  <si>
    <t>Aumento anual</t>
  </si>
  <si>
    <t>Cost Var.</t>
  </si>
  <si>
    <t>Costos variables</t>
  </si>
  <si>
    <t>Alquileres</t>
  </si>
  <si>
    <t>Alquiler</t>
  </si>
  <si>
    <t>Año</t>
  </si>
  <si>
    <t>Valor contable</t>
  </si>
  <si>
    <t>Maquina A</t>
  </si>
  <si>
    <t>Maquina B</t>
  </si>
  <si>
    <t>Maquinas B2</t>
  </si>
  <si>
    <t>Instalaciones</t>
  </si>
  <si>
    <t>Dep</t>
  </si>
  <si>
    <t>Ganancia ant imp.</t>
  </si>
  <si>
    <t>Ganancia Desp. Imp.</t>
  </si>
  <si>
    <t>Flujo operativo</t>
  </si>
  <si>
    <t>Cap. De trab</t>
  </si>
  <si>
    <t>De los costos</t>
  </si>
  <si>
    <t>Cap. De trab.</t>
  </si>
  <si>
    <t>Val. Res. Inv. Fija</t>
  </si>
  <si>
    <t>Venta equipos</t>
  </si>
  <si>
    <t>anteriores</t>
  </si>
  <si>
    <t>Efecto fiscal</t>
  </si>
  <si>
    <t>Flujo de proyecto</t>
  </si>
  <si>
    <t>Cost. Unit</t>
  </si>
  <si>
    <t>Cost var</t>
  </si>
  <si>
    <t>Precio prod</t>
  </si>
  <si>
    <t>Comisión</t>
  </si>
  <si>
    <t>Admin y vent</t>
  </si>
  <si>
    <t xml:space="preserve">Cuadro de amortización </t>
  </si>
  <si>
    <t>Valor cont.</t>
  </si>
  <si>
    <t>Valor residual</t>
  </si>
  <si>
    <t>Obra civil</t>
  </si>
  <si>
    <t>Maquinarias</t>
  </si>
  <si>
    <t>Vehiculo N</t>
  </si>
  <si>
    <t>Efeco fiscal</t>
  </si>
  <si>
    <t>Gananc. Ant imp.</t>
  </si>
  <si>
    <t>Gananc. Des. Imp.</t>
  </si>
  <si>
    <t>Cap. De trabajo</t>
  </si>
  <si>
    <t>Recupero inv. Fija</t>
  </si>
  <si>
    <t>Recupero cap de tr.</t>
  </si>
  <si>
    <t>Flujo del proyecto</t>
  </si>
  <si>
    <t>TRR</t>
  </si>
  <si>
    <t xml:space="preserve">Respuesta 1: El proyecto obtiene una rentabilidad mayor al 18% </t>
  </si>
  <si>
    <t>Respuesta 2</t>
  </si>
  <si>
    <t>Disponible</t>
  </si>
  <si>
    <t>Cuadro prestamo</t>
  </si>
  <si>
    <t>Amort cuotas</t>
  </si>
  <si>
    <t>Interes</t>
  </si>
  <si>
    <t>Interés</t>
  </si>
  <si>
    <t>año 6</t>
  </si>
  <si>
    <t>Flujo inversor</t>
  </si>
  <si>
    <t>Deflactor</t>
  </si>
  <si>
    <t>FLUJO DINAMICO</t>
  </si>
  <si>
    <t>PERIODO RECUPERO</t>
  </si>
  <si>
    <t>Efecto fiscal año 5</t>
  </si>
  <si>
    <t>Respuesta: Periodo de recupero en el año 5</t>
  </si>
  <si>
    <t>Respuesta 3</t>
  </si>
  <si>
    <t>costos fijos ( incluye amortización)</t>
  </si>
  <si>
    <t>( precio de venta unitario- CV unitarios)</t>
  </si>
  <si>
    <t>Comisión por unidad del año 3</t>
  </si>
  <si>
    <t>Punto de eq:</t>
  </si>
  <si>
    <t>P. Eq.</t>
  </si>
  <si>
    <t>Respuesta 4:</t>
  </si>
  <si>
    <t>Precio de equlibrio en el año 3</t>
  </si>
  <si>
    <t>Costo fijo</t>
  </si>
  <si>
    <t>Costo variable</t>
  </si>
  <si>
    <t>Total costos</t>
  </si>
  <si>
    <t>Precio de equlibrio: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</si>
</sst>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&quot;$U&quot;\ #,##0.00_);[Red]\(&quot;$U&quot;\ #,##0.00\)"/>
    <numFmt numFmtId="167" formatCode="_(* #,##0.0000000000000_);_(* \(#,##0.00000000000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102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1" fillId="0" borderId="2" xfId="0" applyFont="1" applyBorder="1"/>
    <xf numFmtId="0" fontId="0" fillId="2" borderId="2" xfId="0" applyFill="1" applyBorder="1"/>
    <xf numFmtId="0" fontId="0" fillId="3" borderId="2" xfId="0" applyFill="1" applyBorder="1"/>
    <xf numFmtId="0" fontId="0" fillId="3" borderId="0" xfId="0" applyFill="1"/>
    <xf numFmtId="0" fontId="0" fillId="4" borderId="2" xfId="0" applyFill="1" applyBorder="1"/>
    <xf numFmtId="0" fontId="0" fillId="3" borderId="2" xfId="0" applyFill="1" applyBorder="1" applyAlignment="1">
      <alignment wrapText="1"/>
    </xf>
    <xf numFmtId="9" fontId="0" fillId="3" borderId="2" xfId="0" applyNumberFormat="1" applyFill="1" applyBorder="1"/>
    <xf numFmtId="0" fontId="3" fillId="2" borderId="2" xfId="0" applyFont="1" applyFill="1" applyBorder="1"/>
    <xf numFmtId="0" fontId="6" fillId="2" borderId="2" xfId="0" applyFont="1" applyFill="1" applyBorder="1"/>
    <xf numFmtId="0" fontId="0" fillId="0" borderId="0" xfId="0" applyAlignment="1">
      <alignment horizontal="center"/>
    </xf>
    <xf numFmtId="0" fontId="7" fillId="3" borderId="2" xfId="0" applyFont="1" applyFill="1" applyBorder="1"/>
    <xf numFmtId="0" fontId="0" fillId="5" borderId="0" xfId="0" applyFill="1"/>
    <xf numFmtId="0" fontId="0" fillId="3" borderId="0" xfId="0" applyFill="1" applyAlignment="1">
      <alignment horizontal="right"/>
    </xf>
    <xf numFmtId="0" fontId="3" fillId="0" borderId="2" xfId="0" applyFont="1" applyBorder="1"/>
    <xf numFmtId="0" fontId="0" fillId="6" borderId="2" xfId="0" applyFill="1" applyBorder="1"/>
    <xf numFmtId="0" fontId="3" fillId="6" borderId="2" xfId="0" applyFont="1" applyFill="1" applyBorder="1"/>
    <xf numFmtId="9" fontId="3" fillId="6" borderId="2" xfId="0" applyNumberFormat="1" applyFont="1" applyFill="1" applyBorder="1"/>
    <xf numFmtId="0" fontId="0" fillId="0" borderId="3" xfId="0" applyBorder="1"/>
    <xf numFmtId="9" fontId="0" fillId="6" borderId="2" xfId="0" applyNumberFormat="1" applyFill="1" applyBorder="1"/>
    <xf numFmtId="0" fontId="1" fillId="3" borderId="2" xfId="0" applyFont="1" applyFill="1" applyBorder="1"/>
    <xf numFmtId="0" fontId="0" fillId="3" borderId="2" xfId="0" applyFill="1" applyBorder="1" applyAlignment="1">
      <alignment horizontal="right"/>
    </xf>
    <xf numFmtId="0" fontId="8" fillId="2" borderId="2" xfId="0" applyFont="1" applyFill="1" applyBorder="1"/>
    <xf numFmtId="10" fontId="0" fillId="2" borderId="2" xfId="0" applyNumberFormat="1" applyFill="1" applyBorder="1"/>
    <xf numFmtId="0" fontId="0" fillId="0" borderId="4" xfId="0" applyBorder="1"/>
    <xf numFmtId="1" fontId="0" fillId="2" borderId="2" xfId="0" applyNumberFormat="1" applyFill="1" applyBorder="1"/>
    <xf numFmtId="0" fontId="3" fillId="3" borderId="2" xfId="0" applyFont="1" applyFill="1" applyBorder="1"/>
    <xf numFmtId="1" fontId="0" fillId="0" borderId="2" xfId="0" applyNumberFormat="1" applyBorder="1"/>
    <xf numFmtId="1" fontId="3" fillId="2" borderId="2" xfId="0" applyNumberFormat="1" applyFont="1" applyFill="1" applyBorder="1"/>
    <xf numFmtId="43" fontId="0" fillId="0" borderId="2" xfId="1" applyFont="1" applyBorder="1"/>
    <xf numFmtId="43" fontId="0" fillId="5" borderId="2" xfId="1" applyFont="1" applyFill="1" applyBorder="1"/>
    <xf numFmtId="0" fontId="3" fillId="0" borderId="0" xfId="0" applyFont="1"/>
    <xf numFmtId="43" fontId="0" fillId="0" borderId="0" xfId="1" applyFont="1"/>
    <xf numFmtId="43" fontId="3" fillId="2" borderId="2" xfId="1" applyFont="1" applyFill="1" applyBorder="1"/>
    <xf numFmtId="43" fontId="3" fillId="0" borderId="2" xfId="1" applyFont="1" applyBorder="1"/>
    <xf numFmtId="164" fontId="3" fillId="2" borderId="2" xfId="0" applyNumberFormat="1" applyFont="1" applyFill="1" applyBorder="1"/>
    <xf numFmtId="164" fontId="0" fillId="0" borderId="0" xfId="0" applyNumberFormat="1"/>
    <xf numFmtId="10" fontId="0" fillId="0" borderId="0" xfId="0" applyNumberFormat="1"/>
    <xf numFmtId="164" fontId="3" fillId="7" borderId="0" xfId="0" applyNumberFormat="1" applyFont="1" applyFill="1"/>
    <xf numFmtId="0" fontId="0" fillId="0" borderId="0" xfId="0" applyAlignment="1">
      <alignment horizontal="left" indent="1"/>
    </xf>
    <xf numFmtId="0" fontId="3" fillId="7" borderId="6" xfId="0" applyFont="1" applyFill="1" applyBorder="1"/>
    <xf numFmtId="164" fontId="3" fillId="7" borderId="7" xfId="0" applyNumberFormat="1" applyFont="1" applyFill="1" applyBorder="1"/>
    <xf numFmtId="0" fontId="3" fillId="0" borderId="6" xfId="0" applyFont="1" applyBorder="1"/>
    <xf numFmtId="164" fontId="3" fillId="0" borderId="7" xfId="0" applyNumberFormat="1" applyFont="1" applyBorder="1"/>
    <xf numFmtId="0" fontId="0" fillId="2" borderId="0" xfId="0" applyFill="1" applyAlignment="1">
      <alignment horizontal="center"/>
    </xf>
    <xf numFmtId="164" fontId="3" fillId="2" borderId="0" xfId="0" applyNumberFormat="1" applyFont="1" applyFill="1"/>
    <xf numFmtId="0" fontId="0" fillId="2" borderId="0" xfId="0" applyFill="1"/>
    <xf numFmtId="164" fontId="0" fillId="2" borderId="0" xfId="0" applyNumberFormat="1" applyFill="1"/>
    <xf numFmtId="166" fontId="0" fillId="0" borderId="0" xfId="0" applyNumberFormat="1"/>
    <xf numFmtId="167" fontId="0" fillId="0" borderId="0" xfId="1" applyNumberFormat="1" applyFont="1"/>
    <xf numFmtId="0" fontId="0" fillId="0" borderId="0" xfId="0" applyAlignment="1">
      <alignment horizontal="right"/>
    </xf>
    <xf numFmtId="2" fontId="0" fillId="4" borderId="2" xfId="0" applyNumberFormat="1" applyFill="1" applyBorder="1"/>
    <xf numFmtId="164" fontId="0" fillId="0" borderId="2" xfId="0" applyNumberFormat="1" applyBorder="1"/>
    <xf numFmtId="2" fontId="0" fillId="0" borderId="2" xfId="0" applyNumberFormat="1" applyBorder="1"/>
    <xf numFmtId="0" fontId="3" fillId="7" borderId="2" xfId="0" applyFont="1" applyFill="1" applyBorder="1"/>
    <xf numFmtId="164" fontId="3" fillId="7" borderId="2" xfId="0" applyNumberFormat="1" applyFont="1" applyFill="1" applyBorder="1"/>
    <xf numFmtId="0" fontId="3" fillId="4" borderId="2" xfId="0" applyFont="1" applyFill="1" applyBorder="1"/>
    <xf numFmtId="165" fontId="3" fillId="4" borderId="2" xfId="1" applyNumberFormat="1" applyFont="1" applyFill="1" applyBorder="1"/>
    <xf numFmtId="43" fontId="0" fillId="8" borderId="2" xfId="1" applyFont="1" applyFill="1" applyBorder="1"/>
    <xf numFmtId="1" fontId="0" fillId="8" borderId="2" xfId="0" applyNumberFormat="1" applyFill="1" applyBorder="1"/>
    <xf numFmtId="0" fontId="0" fillId="8" borderId="2" xfId="0" applyFill="1" applyBorder="1"/>
    <xf numFmtId="0" fontId="0" fillId="8" borderId="0" xfId="0" applyFill="1"/>
    <xf numFmtId="9" fontId="0" fillId="8" borderId="2" xfId="0" applyNumberFormat="1" applyFill="1" applyBorder="1"/>
    <xf numFmtId="43" fontId="0" fillId="2" borderId="2" xfId="1" applyFont="1" applyFill="1" applyBorder="1"/>
    <xf numFmtId="0" fontId="3" fillId="8" borderId="2" xfId="0" applyFont="1" applyFill="1" applyBorder="1" applyAlignment="1">
      <alignment horizontal="left"/>
    </xf>
    <xf numFmtId="43" fontId="1" fillId="0" borderId="2" xfId="1" applyFont="1" applyBorder="1"/>
    <xf numFmtId="43" fontId="1" fillId="8" borderId="2" xfId="1" applyFont="1" applyFill="1" applyBorder="1"/>
    <xf numFmtId="164" fontId="1" fillId="0" borderId="2" xfId="0" applyNumberFormat="1" applyFont="1" applyBorder="1"/>
    <xf numFmtId="164" fontId="3" fillId="2" borderId="0" xfId="1" applyNumberFormat="1" applyFont="1" applyFill="1"/>
    <xf numFmtId="164" fontId="1" fillId="0" borderId="0" xfId="0" applyNumberFormat="1" applyFont="1"/>
    <xf numFmtId="0" fontId="3" fillId="0" borderId="0" xfId="0" applyFont="1" applyAlignment="1">
      <alignment horizontal="right"/>
    </xf>
    <xf numFmtId="43" fontId="0" fillId="2" borderId="2" xfId="0" applyNumberFormat="1" applyFill="1" applyBorder="1"/>
    <xf numFmtId="1" fontId="1" fillId="4" borderId="2" xfId="0" applyNumberFormat="1" applyFont="1" applyFill="1" applyBorder="1"/>
    <xf numFmtId="9" fontId="0" fillId="0" borderId="0" xfId="0" applyNumberFormat="1"/>
    <xf numFmtId="9" fontId="0" fillId="3" borderId="0" xfId="0" applyNumberFormat="1" applyFill="1"/>
    <xf numFmtId="0" fontId="1" fillId="2" borderId="2" xfId="0" applyFont="1" applyFill="1" applyBorder="1"/>
    <xf numFmtId="0" fontId="0" fillId="9" borderId="0" xfId="0" applyFill="1"/>
    <xf numFmtId="0" fontId="0" fillId="0" borderId="11" xfId="0" applyBorder="1" applyAlignment="1">
      <alignment vertical="center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2" borderId="2" xfId="0" applyFill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518583</xdr:colOff>
      <xdr:row>1</xdr:row>
      <xdr:rowOff>52917</xdr:rowOff>
    </xdr:from>
    <xdr:to>
      <xdr:col>9</xdr:col>
      <xdr:colOff>285749</xdr:colOff>
      <xdr:row>26</xdr:row>
      <xdr:rowOff>87937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4BB1F6-F495-1D75-D931-4D670EAC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583" y="254000"/>
          <a:ext cx="6582833" cy="482927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28</xdr:row>
      <xdr:rowOff>180975</xdr:rowOff>
    </xdr:from>
    <xdr:to>
      <xdr:col>8</xdr:col>
      <xdr:colOff>295821</xdr:colOff>
      <xdr:row>31</xdr:row>
      <xdr:rowOff>9581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1D4240-FDE2-42F9-38A5-2BB718700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7875" y="5553075"/>
          <a:ext cx="3915321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40</xdr:row>
      <xdr:rowOff>123825</xdr:rowOff>
    </xdr:from>
    <xdr:to>
      <xdr:col>10</xdr:col>
      <xdr:colOff>391539</xdr:colOff>
      <xdr:row>43</xdr:row>
      <xdr:rowOff>66747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AD3D74-B20C-597C-1B0C-0887A2EB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7781925"/>
          <a:ext cx="7268589" cy="514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66</xdr:row>
      <xdr:rowOff>123824</xdr:rowOff>
    </xdr:from>
    <xdr:to>
      <xdr:col>8</xdr:col>
      <xdr:colOff>552449</xdr:colOff>
      <xdr:row>92</xdr:row>
      <xdr:rowOff>116061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3261F43-3AFC-D7C3-890B-022E32073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" y="12734924"/>
          <a:ext cx="6353175" cy="4945237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66</xdr:row>
      <xdr:rowOff>47625</xdr:rowOff>
    </xdr:from>
    <xdr:to>
      <xdr:col>18</xdr:col>
      <xdr:colOff>390526</xdr:colOff>
      <xdr:row>71</xdr:row>
      <xdr:rowOff>35558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606F9C-FBF8-B968-7703-FF9AF84F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34325" y="12658725"/>
          <a:ext cx="6124576" cy="940433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112</xdr:row>
      <xdr:rowOff>57150</xdr:rowOff>
    </xdr:from>
    <xdr:to>
      <xdr:col>8</xdr:col>
      <xdr:colOff>317623</xdr:colOff>
      <xdr:row>118</xdr:row>
      <xdr:rowOff>66675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1B812FA-84CB-E88C-37E5-ED05D26E0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49" y="21431250"/>
          <a:ext cx="5832599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123</xdr:row>
      <xdr:rowOff>85725</xdr:rowOff>
    </xdr:from>
    <xdr:to>
      <xdr:col>7</xdr:col>
      <xdr:colOff>596898</xdr:colOff>
      <xdr:row>125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65307A0-64D5-25A0-F8C3-BF66272C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7225" y="23564850"/>
          <a:ext cx="5511798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381920</xdr:colOff>
      <xdr:row>34</xdr:row>
      <xdr:rowOff>39012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E6B423-0030-D117-AB90-55A0560D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92220" cy="6535062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32</xdr:row>
      <xdr:rowOff>180975</xdr:rowOff>
    </xdr:from>
    <xdr:to>
      <xdr:col>14</xdr:col>
      <xdr:colOff>781833</xdr:colOff>
      <xdr:row>34</xdr:row>
      <xdr:rowOff>109503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C1BF65-CA33-06A1-5054-504B29C7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6296025"/>
          <a:ext cx="3057525" cy="30952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35</xdr:row>
      <xdr:rowOff>95250</xdr:rowOff>
    </xdr:from>
    <xdr:to>
      <xdr:col>9</xdr:col>
      <xdr:colOff>296083</xdr:colOff>
      <xdr:row>38</xdr:row>
      <xdr:rowOff>38172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A57AC0-8230-C14A-E5E9-2DB8B0E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375" y="6781800"/>
          <a:ext cx="5792008" cy="514422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39</xdr:row>
      <xdr:rowOff>47625</xdr:rowOff>
    </xdr:from>
    <xdr:to>
      <xdr:col>15</xdr:col>
      <xdr:colOff>750012</xdr:colOff>
      <xdr:row>42</xdr:row>
      <xdr:rowOff>38182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62370A-4B56-2A9C-5397-14699E54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72375" y="7496175"/>
          <a:ext cx="5734850" cy="590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632957</xdr:colOff>
      <xdr:row>21</xdr:row>
      <xdr:rowOff>66674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41F8D3-A1BB-E1F1-E6BF-EDF7774BA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t="49484" r="468"/>
        <a:stretch/>
      </xdr:blipFill>
      <xdr:spPr>
        <a:xfrm>
          <a:off x="0" y="0"/>
          <a:ext cx="6728957" cy="4067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133349</xdr:rowOff>
    </xdr:from>
    <xdr:to>
      <xdr:col>9</xdr:col>
      <xdr:colOff>382013</xdr:colOff>
      <xdr:row>25</xdr:row>
      <xdr:rowOff>28574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3013F1-3CE2-E756-61A8-B2666747A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14849"/>
          <a:ext cx="7240013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27</xdr:row>
      <xdr:rowOff>9525</xdr:rowOff>
    </xdr:from>
    <xdr:to>
      <xdr:col>7</xdr:col>
      <xdr:colOff>334131</xdr:colOff>
      <xdr:row>29</xdr:row>
      <xdr:rowOff>28631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2ED684-2B14-D16D-C0FE-0F3B7C0D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5153025"/>
          <a:ext cx="5420481" cy="4001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685800</xdr:colOff>
      <xdr:row>39</xdr:row>
      <xdr:rowOff>169746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6C7279-F43B-9AFD-4E1C-77B6203E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57800" cy="7599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152399</xdr:rowOff>
    </xdr:from>
    <xdr:to>
      <xdr:col>6</xdr:col>
      <xdr:colOff>372165</xdr:colOff>
      <xdr:row>51</xdr:row>
      <xdr:rowOff>69583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1F47A0-E2CF-4770-B8F5-9D734B66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81899"/>
          <a:ext cx="4944165" cy="2229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E98DA9B-B470-47D7-888B-632815CCD5CD}">
  <we:reference id="wa200005271" version="2.0.0.0" store="es-ES" storeType="OMEX"/>
  <we:alternateReferences>
    <we:reference id="wa200005271" version="2.0.0.0" store="wa2000052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_xldudf_AI_FILL</we:customFunctionIds>
        <we:customFunctionIds>_xldudf_AI_LIST</we:customFunctionIds>
        <we:customFunctionIds>_xldudf_AI_ASK</we:customFunctionIds>
        <we:customFunctionIds>_xldudf_AI_FORMAT</we:customFunctionIds>
        <we:customFunctionIds>_xldudf_AI_EXTRACT</we:customFunctionIds>
        <we:customFunctionIds>_xldudf_AI_TRANSLATE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35"/>
  <sheetViews>
    <sheetView tabSelected="1" zoomScale="47" zoomScaleNormal="90" workbookViewId="0">
      <selection activeCell="Q41" sqref="Q41"/>
    </sheetView>
  </sheetViews>
  <sheetFormatPr baseColWidth="10" defaultColWidth="9.1328125" defaultRowHeight="14.25" x14ac:dyDescent="0.45"/>
  <cols>
    <col min="2" max="2" width="16.86328125" customWidth="1"/>
    <col min="3" max="3" width="20" bestFit="1" customWidth="1"/>
    <col min="4" max="4" width="10.1328125" customWidth="1"/>
    <col min="13" max="13" width="32.1328125" customWidth="1"/>
    <col min="14" max="14" width="10" customWidth="1"/>
    <col min="16" max="16" width="13.86328125" customWidth="1"/>
    <col min="21" max="21" width="20.86328125" bestFit="1" customWidth="1"/>
    <col min="22" max="22" width="11.86328125" bestFit="1" customWidth="1"/>
  </cols>
  <sheetData>
    <row r="1" spans="13:28" ht="14.65" thickBot="1" x14ac:dyDescent="0.5"/>
    <row r="2" spans="13:28" ht="14.65" thickBot="1" x14ac:dyDescent="0.5">
      <c r="M2" s="1" t="s">
        <v>0</v>
      </c>
      <c r="N2" s="2" t="s">
        <v>1</v>
      </c>
      <c r="W2" t="s">
        <v>31</v>
      </c>
    </row>
    <row r="3" spans="13:28" ht="14.65" thickBot="1" x14ac:dyDescent="0.5">
      <c r="M3" s="1" t="s">
        <v>2</v>
      </c>
      <c r="N3" s="2" t="s">
        <v>3</v>
      </c>
      <c r="T3" s="8" t="s">
        <v>36</v>
      </c>
      <c r="U3" s="7" t="s">
        <v>37</v>
      </c>
      <c r="V3" s="7" t="s">
        <v>23</v>
      </c>
      <c r="W3" s="4" t="s">
        <v>18</v>
      </c>
      <c r="X3" s="4" t="s">
        <v>19</v>
      </c>
      <c r="Y3" s="4" t="s">
        <v>20</v>
      </c>
      <c r="Z3" s="4" t="s">
        <v>21</v>
      </c>
      <c r="AA3" s="4" t="s">
        <v>22</v>
      </c>
      <c r="AB3" s="4" t="s">
        <v>38</v>
      </c>
    </row>
    <row r="4" spans="13:28" ht="14.65" thickBot="1" x14ac:dyDescent="0.5">
      <c r="M4" s="1" t="s">
        <v>4</v>
      </c>
      <c r="N4" s="3" t="s">
        <v>5</v>
      </c>
      <c r="T4" s="8"/>
      <c r="U4" s="7" t="s">
        <v>32</v>
      </c>
      <c r="V4" s="7">
        <v>2000</v>
      </c>
      <c r="W4" s="4"/>
      <c r="X4" s="4"/>
      <c r="Y4" s="4"/>
      <c r="Z4" s="4"/>
      <c r="AA4" s="4"/>
      <c r="AB4" s="5">
        <f>+SUM(V4:AA4)</f>
        <v>2000</v>
      </c>
    </row>
    <row r="5" spans="13:28" x14ac:dyDescent="0.45">
      <c r="T5" s="8">
        <v>30</v>
      </c>
      <c r="U5" s="7" t="s">
        <v>33</v>
      </c>
      <c r="V5" s="7">
        <v>12000</v>
      </c>
      <c r="W5" s="5">
        <f>+-$V$5/$T$5</f>
        <v>-400</v>
      </c>
      <c r="X5" s="5">
        <f t="shared" ref="X5:AA5" si="0">+-$V$5/$T$5</f>
        <v>-400</v>
      </c>
      <c r="Y5" s="5">
        <f t="shared" si="0"/>
        <v>-400</v>
      </c>
      <c r="Z5" s="5">
        <f t="shared" si="0"/>
        <v>-400</v>
      </c>
      <c r="AA5" s="5">
        <f t="shared" si="0"/>
        <v>-400</v>
      </c>
      <c r="AB5" s="5">
        <f>+SUM(V5:AA5)</f>
        <v>10000</v>
      </c>
    </row>
    <row r="6" spans="13:28" x14ac:dyDescent="0.45">
      <c r="M6" s="7" t="s">
        <v>6</v>
      </c>
      <c r="N6" s="7">
        <v>1000</v>
      </c>
      <c r="T6" s="8">
        <v>10</v>
      </c>
      <c r="U6" s="7" t="s">
        <v>34</v>
      </c>
      <c r="V6" s="7">
        <v>2000</v>
      </c>
      <c r="W6" s="5">
        <f>+-$V$6/$T$6</f>
        <v>-200</v>
      </c>
      <c r="X6" s="5">
        <f t="shared" ref="X6:AA6" si="1">+-$V$6/$T$6</f>
        <v>-200</v>
      </c>
      <c r="Y6" s="5">
        <f t="shared" si="1"/>
        <v>-200</v>
      </c>
      <c r="Z6" s="5">
        <f t="shared" si="1"/>
        <v>-200</v>
      </c>
      <c r="AA6" s="5">
        <f t="shared" si="1"/>
        <v>-200</v>
      </c>
      <c r="AB6" s="5">
        <f t="shared" ref="AB6:AB7" si="2">+SUM(V6:AA6)</f>
        <v>1000</v>
      </c>
    </row>
    <row r="7" spans="13:28" x14ac:dyDescent="0.45">
      <c r="M7" s="10" t="s">
        <v>7</v>
      </c>
      <c r="N7" s="7">
        <v>15</v>
      </c>
      <c r="T7" s="8">
        <v>5</v>
      </c>
      <c r="U7" s="7" t="s">
        <v>35</v>
      </c>
      <c r="V7" s="7">
        <v>500</v>
      </c>
      <c r="W7" s="5">
        <f>+-$V$7/$T$7</f>
        <v>-100</v>
      </c>
      <c r="X7" s="5">
        <f t="shared" ref="X7:AA7" si="3">+-$V$7/$T$7</f>
        <v>-100</v>
      </c>
      <c r="Y7" s="5">
        <f t="shared" si="3"/>
        <v>-100</v>
      </c>
      <c r="Z7" s="5">
        <f t="shared" si="3"/>
        <v>-100</v>
      </c>
      <c r="AA7" s="5">
        <f t="shared" si="3"/>
        <v>-100</v>
      </c>
      <c r="AB7" s="5">
        <f t="shared" si="2"/>
        <v>0</v>
      </c>
    </row>
    <row r="8" spans="13:28" x14ac:dyDescent="0.45">
      <c r="M8" s="7" t="s">
        <v>8</v>
      </c>
      <c r="N8" s="7">
        <v>0.25</v>
      </c>
      <c r="T8" s="8"/>
      <c r="U8" s="7"/>
      <c r="V8" s="7"/>
      <c r="W8" s="4"/>
      <c r="X8" s="4"/>
      <c r="Y8" s="4"/>
      <c r="Z8" s="4"/>
      <c r="AA8" s="4"/>
      <c r="AB8" s="4"/>
    </row>
    <row r="9" spans="13:28" x14ac:dyDescent="0.45">
      <c r="T9" s="8"/>
      <c r="U9" s="7"/>
      <c r="V9" s="9" cm="1">
        <f t="array" ref="V9">+SUM(-V4:V7)</f>
        <v>-16500</v>
      </c>
      <c r="W9" s="4">
        <f t="shared" ref="W9:AA9" si="4">+SUM(W4:W7)</f>
        <v>-700</v>
      </c>
      <c r="X9" s="4">
        <f t="shared" si="4"/>
        <v>-700</v>
      </c>
      <c r="Y9" s="4">
        <f t="shared" si="4"/>
        <v>-700</v>
      </c>
      <c r="Z9" s="4">
        <f t="shared" si="4"/>
        <v>-700</v>
      </c>
      <c r="AA9" s="4">
        <f t="shared" si="4"/>
        <v>-700</v>
      </c>
      <c r="AB9" s="5">
        <f>+SUM(AB4:AB7)</f>
        <v>13000</v>
      </c>
    </row>
    <row r="10" spans="13:28" x14ac:dyDescent="0.45">
      <c r="M10" s="7"/>
      <c r="N10" s="7" t="s">
        <v>11</v>
      </c>
      <c r="O10" s="7" t="s">
        <v>12</v>
      </c>
      <c r="P10" s="7" t="s">
        <v>13</v>
      </c>
      <c r="Q10" s="7" t="s">
        <v>14</v>
      </c>
      <c r="R10" s="7" t="s">
        <v>15</v>
      </c>
      <c r="S10" s="7" t="s">
        <v>16</v>
      </c>
    </row>
    <row r="11" spans="13:28" x14ac:dyDescent="0.45">
      <c r="M11" s="7" t="s">
        <v>9</v>
      </c>
      <c r="N11" s="7"/>
      <c r="O11" s="7">
        <v>800</v>
      </c>
      <c r="P11" s="7">
        <v>900</v>
      </c>
      <c r="Q11" s="7">
        <v>1000</v>
      </c>
      <c r="R11" s="7">
        <v>1000</v>
      </c>
      <c r="S11" s="7">
        <v>1000</v>
      </c>
    </row>
    <row r="12" spans="13:28" x14ac:dyDescent="0.45">
      <c r="M12" s="7" t="s">
        <v>10</v>
      </c>
      <c r="N12" s="7"/>
      <c r="O12" s="7">
        <v>15</v>
      </c>
      <c r="P12" s="7">
        <v>15</v>
      </c>
      <c r="Q12" s="7">
        <v>15</v>
      </c>
      <c r="R12" s="7">
        <v>15</v>
      </c>
      <c r="S12" s="7">
        <v>15</v>
      </c>
    </row>
    <row r="15" spans="13:28" x14ac:dyDescent="0.45">
      <c r="M15" s="4"/>
      <c r="N15" s="4" t="s">
        <v>23</v>
      </c>
      <c r="O15" s="4" t="s">
        <v>18</v>
      </c>
      <c r="P15" s="4" t="s">
        <v>19</v>
      </c>
      <c r="Q15" s="4" t="s">
        <v>20</v>
      </c>
      <c r="R15" s="4" t="s">
        <v>21</v>
      </c>
      <c r="S15" s="4" t="s">
        <v>22</v>
      </c>
    </row>
    <row r="16" spans="13:28" x14ac:dyDescent="0.45">
      <c r="M16" s="4" t="s">
        <v>17</v>
      </c>
      <c r="N16" s="4"/>
      <c r="O16" s="4">
        <f>+O11*O12</f>
        <v>12000</v>
      </c>
      <c r="P16" s="4">
        <f>+P11*P12</f>
        <v>13500</v>
      </c>
      <c r="Q16" s="4">
        <f>+Q11*Q12</f>
        <v>15000</v>
      </c>
      <c r="R16" s="4">
        <f>+R11*R12</f>
        <v>15000</v>
      </c>
      <c r="S16" s="4">
        <f>+S11*S12</f>
        <v>15000</v>
      </c>
    </row>
    <row r="17" spans="13:24" x14ac:dyDescent="0.45">
      <c r="M17" s="4" t="s">
        <v>24</v>
      </c>
      <c r="N17" s="4"/>
      <c r="O17" s="5">
        <f>+-O16*40%</f>
        <v>-4800</v>
      </c>
      <c r="P17" s="5">
        <f t="shared" ref="P17:S17" si="5">+-P16*40%</f>
        <v>-5400</v>
      </c>
      <c r="Q17" s="5">
        <f t="shared" si="5"/>
        <v>-6000</v>
      </c>
      <c r="R17" s="5">
        <f t="shared" si="5"/>
        <v>-6000</v>
      </c>
      <c r="S17" s="5">
        <f t="shared" si="5"/>
        <v>-6000</v>
      </c>
    </row>
    <row r="18" spans="13:24" x14ac:dyDescent="0.45">
      <c r="M18" s="4" t="s">
        <v>25</v>
      </c>
      <c r="N18" s="4"/>
      <c r="O18" s="5">
        <v>-800</v>
      </c>
      <c r="P18" s="5">
        <v>-800</v>
      </c>
      <c r="Q18" s="5">
        <v>-800</v>
      </c>
      <c r="R18" s="5">
        <v>-800</v>
      </c>
      <c r="S18" s="5">
        <v>-800</v>
      </c>
    </row>
    <row r="19" spans="13:24" x14ac:dyDescent="0.45">
      <c r="M19" s="6" t="s">
        <v>26</v>
      </c>
      <c r="N19" s="6"/>
      <c r="O19" s="6">
        <f>+SUM(O16:O18)</f>
        <v>6400</v>
      </c>
      <c r="P19" s="6">
        <f t="shared" ref="P19:S19" si="6">+SUM(P16:P18)</f>
        <v>7300</v>
      </c>
      <c r="Q19" s="6">
        <f t="shared" si="6"/>
        <v>8200</v>
      </c>
      <c r="R19" s="6">
        <f t="shared" si="6"/>
        <v>8200</v>
      </c>
      <c r="S19" s="6">
        <f t="shared" si="6"/>
        <v>8200</v>
      </c>
    </row>
    <row r="20" spans="13:24" x14ac:dyDescent="0.45">
      <c r="M20" s="4" t="s">
        <v>27</v>
      </c>
      <c r="N20" s="4"/>
      <c r="O20" s="5">
        <f>+W9</f>
        <v>-700</v>
      </c>
      <c r="P20" s="5">
        <f t="shared" ref="P20:S20" si="7">+X9</f>
        <v>-700</v>
      </c>
      <c r="Q20" s="5">
        <f t="shared" si="7"/>
        <v>-700</v>
      </c>
      <c r="R20" s="5">
        <f t="shared" si="7"/>
        <v>-700</v>
      </c>
      <c r="S20" s="5">
        <f t="shared" si="7"/>
        <v>-700</v>
      </c>
    </row>
    <row r="21" spans="13:24" x14ac:dyDescent="0.45">
      <c r="M21" s="6" t="s">
        <v>29</v>
      </c>
      <c r="N21" s="6"/>
      <c r="O21" s="6">
        <f>+SUM(O19:O20)</f>
        <v>5700</v>
      </c>
      <c r="P21" s="6">
        <f t="shared" ref="P21:S21" si="8">+SUM(P19:P20)</f>
        <v>6600</v>
      </c>
      <c r="Q21" s="6">
        <f t="shared" si="8"/>
        <v>7500</v>
      </c>
      <c r="R21" s="6">
        <f t="shared" si="8"/>
        <v>7500</v>
      </c>
      <c r="S21" s="6">
        <f t="shared" si="8"/>
        <v>7500</v>
      </c>
    </row>
    <row r="22" spans="13:24" x14ac:dyDescent="0.45">
      <c r="M22" s="4" t="s">
        <v>8</v>
      </c>
      <c r="N22" s="4"/>
      <c r="O22" s="5">
        <f>+O21*-$N$8</f>
        <v>-1425</v>
      </c>
      <c r="P22" s="5">
        <f t="shared" ref="P22:S22" si="9">+P21*-$N$8</f>
        <v>-1650</v>
      </c>
      <c r="Q22" s="5">
        <f t="shared" si="9"/>
        <v>-1875</v>
      </c>
      <c r="R22" s="5">
        <f t="shared" si="9"/>
        <v>-1875</v>
      </c>
      <c r="S22" s="5">
        <f t="shared" si="9"/>
        <v>-1875</v>
      </c>
    </row>
    <row r="23" spans="13:24" x14ac:dyDescent="0.45">
      <c r="M23" s="6" t="s">
        <v>28</v>
      </c>
      <c r="N23" s="6"/>
      <c r="O23" s="6">
        <f>+O21+O22</f>
        <v>4275</v>
      </c>
      <c r="P23" s="6">
        <f t="shared" ref="P23:R23" si="10">+P21+P22</f>
        <v>4950</v>
      </c>
      <c r="Q23" s="6">
        <f t="shared" si="10"/>
        <v>5625</v>
      </c>
      <c r="R23" s="6">
        <f t="shared" si="10"/>
        <v>5625</v>
      </c>
      <c r="S23" s="6">
        <f>+S21+S22</f>
        <v>5625</v>
      </c>
    </row>
    <row r="24" spans="13:24" x14ac:dyDescent="0.45">
      <c r="M24" s="4" t="s">
        <v>27</v>
      </c>
      <c r="N24" s="4"/>
      <c r="O24" s="4">
        <f>+-O20</f>
        <v>700</v>
      </c>
      <c r="P24" s="4">
        <f t="shared" ref="P24:S24" si="11">+-P20</f>
        <v>700</v>
      </c>
      <c r="Q24" s="4">
        <f t="shared" si="11"/>
        <v>700</v>
      </c>
      <c r="R24" s="4">
        <f t="shared" si="11"/>
        <v>700</v>
      </c>
      <c r="S24" s="4">
        <f t="shared" si="11"/>
        <v>700</v>
      </c>
    </row>
    <row r="25" spans="13:24" x14ac:dyDescent="0.45">
      <c r="M25" s="6" t="s">
        <v>30</v>
      </c>
      <c r="N25" s="6"/>
      <c r="O25" s="6">
        <f>+SUM(O23:O24)</f>
        <v>4975</v>
      </c>
      <c r="P25" s="6">
        <f t="shared" ref="P25:S25" si="12">+SUM(P23:P24)</f>
        <v>5650</v>
      </c>
      <c r="Q25" s="6">
        <f t="shared" si="12"/>
        <v>6325</v>
      </c>
      <c r="R25" s="6">
        <f t="shared" si="12"/>
        <v>6325</v>
      </c>
      <c r="S25" s="6">
        <f t="shared" si="12"/>
        <v>6325</v>
      </c>
    </row>
    <row r="26" spans="13:24" x14ac:dyDescent="0.45">
      <c r="M26" s="4" t="s">
        <v>39</v>
      </c>
      <c r="N26" s="5">
        <f>+V9</f>
        <v>-16500</v>
      </c>
      <c r="O26" s="4"/>
      <c r="P26" s="4"/>
      <c r="Q26" s="4"/>
      <c r="R26" s="4"/>
      <c r="S26" s="4"/>
      <c r="U26" s="88" t="s">
        <v>43</v>
      </c>
      <c r="V26" s="88"/>
      <c r="W26" s="88"/>
      <c r="X26" s="88"/>
    </row>
    <row r="27" spans="13:24" x14ac:dyDescent="0.45">
      <c r="M27" s="4" t="s">
        <v>40</v>
      </c>
      <c r="N27" s="5">
        <f>+O16*-V27</f>
        <v>-2400</v>
      </c>
      <c r="O27" s="5">
        <f>+(P16*-V27)-N27</f>
        <v>-300</v>
      </c>
      <c r="P27" s="5">
        <f>+(Q16*-$V$27)-O27-N27</f>
        <v>-300</v>
      </c>
      <c r="Q27" s="5">
        <f>+(R16*-$V$27)-P27-O27-N27</f>
        <v>0</v>
      </c>
      <c r="R27" s="5">
        <f>+(S16*-$V$27)-Q27-P27-O27-N27</f>
        <v>0</v>
      </c>
      <c r="S27" s="4"/>
      <c r="U27" s="7" t="s">
        <v>41</v>
      </c>
      <c r="V27" s="11">
        <v>0.2</v>
      </c>
      <c r="W27" s="7" t="s">
        <v>42</v>
      </c>
      <c r="X27" s="7"/>
    </row>
    <row r="28" spans="13:24" x14ac:dyDescent="0.45">
      <c r="M28" s="4" t="s">
        <v>45</v>
      </c>
      <c r="N28" s="4"/>
      <c r="O28" s="4"/>
      <c r="P28" s="4"/>
      <c r="Q28" s="4"/>
      <c r="R28" s="4"/>
      <c r="S28" s="4">
        <f>+AB9</f>
        <v>13000</v>
      </c>
    </row>
    <row r="29" spans="13:24" x14ac:dyDescent="0.45">
      <c r="M29" s="4" t="s">
        <v>46</v>
      </c>
      <c r="N29" s="4"/>
      <c r="O29" s="4"/>
      <c r="P29" s="4"/>
      <c r="Q29" s="4"/>
      <c r="R29" s="4"/>
      <c r="S29" s="4" cm="1">
        <f t="array" ref="S29">+SUM(-N27:R27)</f>
        <v>3000</v>
      </c>
    </row>
    <row r="30" spans="13:24" x14ac:dyDescent="0.45">
      <c r="M30" s="12" t="s">
        <v>44</v>
      </c>
      <c r="N30" s="13">
        <f>+SUM(N25:N29)</f>
        <v>-18900</v>
      </c>
      <c r="O30" s="12">
        <f t="shared" ref="O30:S30" si="13">+SUM(O25:O29)</f>
        <v>4675</v>
      </c>
      <c r="P30" s="12">
        <f t="shared" si="13"/>
        <v>5350</v>
      </c>
      <c r="Q30" s="12">
        <f t="shared" si="13"/>
        <v>6325</v>
      </c>
      <c r="R30" s="12">
        <f t="shared" si="13"/>
        <v>6325</v>
      </c>
      <c r="S30" s="12">
        <f t="shared" si="13"/>
        <v>22325</v>
      </c>
    </row>
    <row r="33" spans="3:23" x14ac:dyDescent="0.45">
      <c r="C33" s="12" t="s">
        <v>44</v>
      </c>
      <c r="D33" s="13">
        <f>+N30</f>
        <v>-18900</v>
      </c>
      <c r="E33" s="12">
        <f t="shared" ref="E33:I33" si="14">+O30</f>
        <v>4675</v>
      </c>
      <c r="F33" s="12">
        <f t="shared" si="14"/>
        <v>5350</v>
      </c>
      <c r="G33" s="12">
        <f t="shared" si="14"/>
        <v>6325</v>
      </c>
      <c r="H33" s="12">
        <f t="shared" si="14"/>
        <v>6325</v>
      </c>
      <c r="I33" s="12">
        <f t="shared" si="14"/>
        <v>22325</v>
      </c>
      <c r="M33" s="89" t="s">
        <v>51</v>
      </c>
      <c r="N33" s="89"/>
      <c r="O33" s="89"/>
      <c r="P33" s="89"/>
      <c r="Q33" s="89"/>
      <c r="R33" s="89"/>
      <c r="S33" s="89"/>
    </row>
    <row r="34" spans="3:23" x14ac:dyDescent="0.45">
      <c r="C34" s="4" t="s">
        <v>47</v>
      </c>
      <c r="D34" s="4">
        <f>+N35</f>
        <v>8250</v>
      </c>
      <c r="E34" s="4"/>
      <c r="F34" s="4"/>
      <c r="G34" s="4"/>
      <c r="H34" s="4"/>
      <c r="I34" s="4"/>
      <c r="M34" s="4"/>
      <c r="N34" s="4" t="s">
        <v>23</v>
      </c>
      <c r="O34" s="4" t="s">
        <v>18</v>
      </c>
      <c r="P34" s="4" t="s">
        <v>19</v>
      </c>
      <c r="Q34" s="4" t="s">
        <v>20</v>
      </c>
      <c r="R34" s="4" t="s">
        <v>21</v>
      </c>
      <c r="U34" s="7" t="s">
        <v>50</v>
      </c>
      <c r="V34" s="11">
        <v>0.05</v>
      </c>
    </row>
    <row r="35" spans="3:23" x14ac:dyDescent="0.45">
      <c r="C35" s="4" t="s">
        <v>48</v>
      </c>
      <c r="D35" s="4"/>
      <c r="E35" s="5">
        <f>+O36</f>
        <v>-2062.5</v>
      </c>
      <c r="F35" s="5">
        <f t="shared" ref="F35:I35" si="15">+P36</f>
        <v>-2062.5</v>
      </c>
      <c r="G35" s="5">
        <f t="shared" si="15"/>
        <v>-2062.5</v>
      </c>
      <c r="H35" s="5">
        <f t="shared" si="15"/>
        <v>-2062.5</v>
      </c>
      <c r="I35" s="5">
        <f t="shared" si="15"/>
        <v>0</v>
      </c>
      <c r="M35" s="4" t="s">
        <v>47</v>
      </c>
      <c r="N35" s="7">
        <f>+-N26*50%</f>
        <v>8250</v>
      </c>
      <c r="O35" s="4"/>
      <c r="P35" s="4"/>
      <c r="Q35" s="4"/>
      <c r="R35" s="4"/>
    </row>
    <row r="36" spans="3:23" x14ac:dyDescent="0.45">
      <c r="C36" s="4" t="s">
        <v>53</v>
      </c>
      <c r="D36" s="4"/>
      <c r="E36" s="5">
        <f>+O38</f>
        <v>-412.5</v>
      </c>
      <c r="F36" s="5">
        <f t="shared" ref="F36:I36" si="16">+P38</f>
        <v>-309.375</v>
      </c>
      <c r="G36" s="5">
        <f t="shared" si="16"/>
        <v>-206.25</v>
      </c>
      <c r="H36" s="5">
        <f t="shared" si="16"/>
        <v>-103.125</v>
      </c>
      <c r="I36" s="5">
        <f t="shared" si="16"/>
        <v>0</v>
      </c>
      <c r="M36" s="4" t="s">
        <v>48</v>
      </c>
      <c r="N36" s="4"/>
      <c r="O36" s="5">
        <f>+$N$35/-4</f>
        <v>-2062.5</v>
      </c>
      <c r="P36" s="5">
        <f t="shared" ref="P36:R36" si="17">+$N$35/-4</f>
        <v>-2062.5</v>
      </c>
      <c r="Q36" s="5">
        <f t="shared" si="17"/>
        <v>-2062.5</v>
      </c>
      <c r="R36" s="5">
        <f t="shared" si="17"/>
        <v>-2062.5</v>
      </c>
    </row>
    <row r="37" spans="3:23" x14ac:dyDescent="0.45">
      <c r="C37" s="4" t="s">
        <v>52</v>
      </c>
      <c r="D37" s="4"/>
      <c r="E37" s="4">
        <f>+-E36*$N$8</f>
        <v>103.125</v>
      </c>
      <c r="F37" s="4">
        <f t="shared" ref="F37:I37" si="18">+-F36*$N$8</f>
        <v>77.34375</v>
      </c>
      <c r="G37" s="4">
        <f t="shared" si="18"/>
        <v>51.5625</v>
      </c>
      <c r="H37" s="4">
        <f t="shared" si="18"/>
        <v>25.78125</v>
      </c>
      <c r="I37" s="4">
        <f t="shared" si="18"/>
        <v>0</v>
      </c>
      <c r="M37" s="4" t="s">
        <v>49</v>
      </c>
      <c r="N37" s="4">
        <f>+N35</f>
        <v>8250</v>
      </c>
      <c r="O37" s="4">
        <f>+N37+O36</f>
        <v>6187.5</v>
      </c>
      <c r="P37" s="4">
        <f t="shared" ref="P37:R37" si="19">+O37+P36</f>
        <v>4125</v>
      </c>
      <c r="Q37" s="4">
        <f t="shared" si="19"/>
        <v>2062.5</v>
      </c>
      <c r="R37" s="4">
        <f t="shared" si="19"/>
        <v>0</v>
      </c>
    </row>
    <row r="38" spans="3:23" x14ac:dyDescent="0.45">
      <c r="C38" s="12" t="s">
        <v>54</v>
      </c>
      <c r="D38" s="12">
        <f>+SUM(D33:D37)</f>
        <v>-10650</v>
      </c>
      <c r="E38" s="12">
        <f t="shared" ref="E38:I38" si="20">+SUM(E33:E37)</f>
        <v>2303.125</v>
      </c>
      <c r="F38" s="12">
        <f t="shared" si="20"/>
        <v>3055.46875</v>
      </c>
      <c r="G38" s="12">
        <f t="shared" si="20"/>
        <v>4107.8125</v>
      </c>
      <c r="H38" s="12">
        <f t="shared" si="20"/>
        <v>4185.15625</v>
      </c>
      <c r="I38" s="12">
        <f t="shared" si="20"/>
        <v>22325</v>
      </c>
      <c r="M38" s="4" t="s">
        <v>50</v>
      </c>
      <c r="N38" s="4"/>
      <c r="O38" s="5">
        <f>+-N37*$V$34</f>
        <v>-412.5</v>
      </c>
      <c r="P38" s="5">
        <f t="shared" ref="P38:R38" si="21">+-O37*$V$34</f>
        <v>-309.375</v>
      </c>
      <c r="Q38" s="5">
        <f t="shared" si="21"/>
        <v>-206.25</v>
      </c>
      <c r="R38" s="5">
        <f t="shared" si="21"/>
        <v>-103.125</v>
      </c>
    </row>
    <row r="45" spans="3:23" x14ac:dyDescent="0.45">
      <c r="C45" s="4"/>
      <c r="D45" s="4" t="s">
        <v>23</v>
      </c>
      <c r="E45" s="4" t="s">
        <v>18</v>
      </c>
      <c r="F45" s="4" t="s">
        <v>19</v>
      </c>
      <c r="G45" s="4" t="s">
        <v>20</v>
      </c>
      <c r="H45" s="4" t="s">
        <v>21</v>
      </c>
      <c r="I45" s="4" t="s">
        <v>22</v>
      </c>
      <c r="J45" s="4" t="s">
        <v>55</v>
      </c>
      <c r="K45" s="4" t="s">
        <v>56</v>
      </c>
      <c r="P45" t="s">
        <v>31</v>
      </c>
    </row>
    <row r="46" spans="3:23" x14ac:dyDescent="0.45">
      <c r="C46" s="4" t="s">
        <v>17</v>
      </c>
      <c r="D46" s="4"/>
      <c r="E46" s="4">
        <f>+O16</f>
        <v>12000</v>
      </c>
      <c r="F46" s="4">
        <f>+P16</f>
        <v>13500</v>
      </c>
      <c r="G46" s="4">
        <f>+Q16</f>
        <v>15000</v>
      </c>
      <c r="H46" s="4">
        <f>+R16</f>
        <v>15000</v>
      </c>
      <c r="I46" s="4">
        <f>+S16</f>
        <v>15000</v>
      </c>
      <c r="J46" s="4">
        <f>+$I$46</f>
        <v>15000</v>
      </c>
      <c r="K46" s="4">
        <f>+$I$46</f>
        <v>15000</v>
      </c>
      <c r="M46" s="17" t="s">
        <v>36</v>
      </c>
      <c r="N46" s="7" t="s">
        <v>37</v>
      </c>
      <c r="O46" s="7" t="s">
        <v>23</v>
      </c>
      <c r="P46" s="4" t="s">
        <v>18</v>
      </c>
      <c r="Q46" s="4" t="s">
        <v>19</v>
      </c>
      <c r="R46" s="4" t="s">
        <v>20</v>
      </c>
      <c r="S46" s="4" t="s">
        <v>21</v>
      </c>
      <c r="T46" s="4" t="s">
        <v>22</v>
      </c>
      <c r="U46" s="4" t="s">
        <v>55</v>
      </c>
      <c r="V46" s="4" t="s">
        <v>56</v>
      </c>
      <c r="W46" s="4" t="s">
        <v>38</v>
      </c>
    </row>
    <row r="47" spans="3:23" x14ac:dyDescent="0.45">
      <c r="C47" s="4" t="s">
        <v>24</v>
      </c>
      <c r="D47" s="4"/>
      <c r="E47" s="5">
        <f>+-E46*40%</f>
        <v>-4800</v>
      </c>
      <c r="F47" s="5">
        <f t="shared" ref="F47:I47" si="22">+-F46*40%</f>
        <v>-5400</v>
      </c>
      <c r="G47" s="5">
        <f t="shared" si="22"/>
        <v>-6000</v>
      </c>
      <c r="H47" s="5">
        <f t="shared" si="22"/>
        <v>-6000</v>
      </c>
      <c r="I47" s="5">
        <f t="shared" si="22"/>
        <v>-6000</v>
      </c>
      <c r="J47" s="5">
        <f>+$I$47</f>
        <v>-6000</v>
      </c>
      <c r="K47" s="5">
        <f>+$I$47</f>
        <v>-6000</v>
      </c>
      <c r="M47" s="8"/>
      <c r="N47" s="7" t="s">
        <v>32</v>
      </c>
      <c r="O47" s="7">
        <v>2000</v>
      </c>
      <c r="P47" s="4"/>
      <c r="Q47" s="4"/>
      <c r="R47" s="4"/>
      <c r="S47" s="4"/>
      <c r="T47" s="4"/>
      <c r="U47" s="4"/>
      <c r="V47" s="4"/>
      <c r="W47" s="5">
        <f>+SUM(O47:T47)</f>
        <v>2000</v>
      </c>
    </row>
    <row r="48" spans="3:23" x14ac:dyDescent="0.45">
      <c r="C48" s="4" t="s">
        <v>25</v>
      </c>
      <c r="D48" s="4"/>
      <c r="E48" s="5">
        <v>-800</v>
      </c>
      <c r="F48" s="5">
        <v>-800</v>
      </c>
      <c r="G48" s="5">
        <v>-800</v>
      </c>
      <c r="H48" s="5">
        <v>-800</v>
      </c>
      <c r="I48" s="5">
        <v>-800</v>
      </c>
      <c r="J48" s="4">
        <f>+$I$48</f>
        <v>-800</v>
      </c>
      <c r="K48" s="4">
        <f>+$I$48</f>
        <v>-800</v>
      </c>
      <c r="M48" s="8">
        <v>30</v>
      </c>
      <c r="N48" s="7" t="s">
        <v>33</v>
      </c>
      <c r="O48" s="7">
        <v>12000</v>
      </c>
      <c r="P48" s="5">
        <f>+-$V$5/$T$5</f>
        <v>-400</v>
      </c>
      <c r="Q48" s="5">
        <f t="shared" ref="Q48:V48" si="23">+-$V$5/$T$5</f>
        <v>-400</v>
      </c>
      <c r="R48" s="5">
        <f t="shared" si="23"/>
        <v>-400</v>
      </c>
      <c r="S48" s="5">
        <f t="shared" si="23"/>
        <v>-400</v>
      </c>
      <c r="T48" s="5">
        <f t="shared" si="23"/>
        <v>-400</v>
      </c>
      <c r="U48" s="5">
        <f t="shared" si="23"/>
        <v>-400</v>
      </c>
      <c r="V48" s="5">
        <f t="shared" si="23"/>
        <v>-400</v>
      </c>
      <c r="W48" s="5">
        <f>+SUM(O48:V48)</f>
        <v>9200</v>
      </c>
    </row>
    <row r="49" spans="3:23" x14ac:dyDescent="0.45">
      <c r="C49" s="6" t="s">
        <v>26</v>
      </c>
      <c r="D49" s="6"/>
      <c r="E49" s="6">
        <f>+SUM(E46:E48)</f>
        <v>6400</v>
      </c>
      <c r="F49" s="6">
        <f t="shared" ref="F49:K49" si="24">+SUM(F46:F48)</f>
        <v>7300</v>
      </c>
      <c r="G49" s="6">
        <f t="shared" si="24"/>
        <v>8200</v>
      </c>
      <c r="H49" s="6">
        <f t="shared" si="24"/>
        <v>8200</v>
      </c>
      <c r="I49" s="6">
        <f t="shared" si="24"/>
        <v>8200</v>
      </c>
      <c r="J49" s="6">
        <f t="shared" si="24"/>
        <v>8200</v>
      </c>
      <c r="K49" s="6">
        <f t="shared" si="24"/>
        <v>8200</v>
      </c>
      <c r="M49" s="8">
        <v>10</v>
      </c>
      <c r="N49" s="7" t="s">
        <v>34</v>
      </c>
      <c r="O49" s="7">
        <v>2000</v>
      </c>
      <c r="P49" s="5">
        <f>+-$V$6/$T$6</f>
        <v>-200</v>
      </c>
      <c r="Q49" s="5">
        <f t="shared" ref="Q49:V49" si="25">+-$V$6/$T$6</f>
        <v>-200</v>
      </c>
      <c r="R49" s="5">
        <f t="shared" si="25"/>
        <v>-200</v>
      </c>
      <c r="S49" s="5">
        <f t="shared" si="25"/>
        <v>-200</v>
      </c>
      <c r="T49" s="5">
        <f t="shared" si="25"/>
        <v>-200</v>
      </c>
      <c r="U49" s="5">
        <f t="shared" si="25"/>
        <v>-200</v>
      </c>
      <c r="V49" s="5">
        <f t="shared" si="25"/>
        <v>-200</v>
      </c>
      <c r="W49" s="5">
        <f>+SUM(O49:V49)</f>
        <v>600</v>
      </c>
    </row>
    <row r="50" spans="3:23" x14ac:dyDescent="0.45">
      <c r="C50" s="4" t="s">
        <v>27</v>
      </c>
      <c r="D50" s="4"/>
      <c r="E50" s="5">
        <f>+P52</f>
        <v>-700</v>
      </c>
      <c r="F50" s="5">
        <f t="shared" ref="F50:K50" si="26">+Q52</f>
        <v>-700</v>
      </c>
      <c r="G50" s="5">
        <f t="shared" si="26"/>
        <v>-700</v>
      </c>
      <c r="H50" s="5">
        <f t="shared" si="26"/>
        <v>-700</v>
      </c>
      <c r="I50" s="5">
        <f t="shared" si="26"/>
        <v>-700</v>
      </c>
      <c r="J50" s="5">
        <f t="shared" si="26"/>
        <v>-700</v>
      </c>
      <c r="K50" s="5">
        <f t="shared" si="26"/>
        <v>-700</v>
      </c>
      <c r="M50" s="8">
        <v>5</v>
      </c>
      <c r="N50" s="7" t="s">
        <v>35</v>
      </c>
      <c r="O50" s="7">
        <v>500</v>
      </c>
      <c r="P50" s="5">
        <f>+-$V$7/$T$7</f>
        <v>-100</v>
      </c>
      <c r="Q50" s="5">
        <f t="shared" ref="Q50:T50" si="27">+-$V$7/$T$7</f>
        <v>-100</v>
      </c>
      <c r="R50" s="5">
        <f t="shared" si="27"/>
        <v>-100</v>
      </c>
      <c r="S50" s="5">
        <f t="shared" si="27"/>
        <v>-100</v>
      </c>
      <c r="T50" s="5">
        <f t="shared" si="27"/>
        <v>-100</v>
      </c>
      <c r="U50" s="5">
        <v>0</v>
      </c>
      <c r="V50" s="5">
        <v>0</v>
      </c>
      <c r="W50" s="5">
        <f>+SUM(O50:T50)</f>
        <v>0</v>
      </c>
    </row>
    <row r="51" spans="3:23" x14ac:dyDescent="0.45">
      <c r="C51" s="6" t="s">
        <v>29</v>
      </c>
      <c r="D51" s="6"/>
      <c r="E51" s="6">
        <f>+SUM(E49:E50)</f>
        <v>5700</v>
      </c>
      <c r="F51" s="6">
        <f t="shared" ref="F51:K51" si="28">+SUM(F49:F50)</f>
        <v>6600</v>
      </c>
      <c r="G51" s="6">
        <f t="shared" si="28"/>
        <v>7500</v>
      </c>
      <c r="H51" s="6">
        <f t="shared" si="28"/>
        <v>7500</v>
      </c>
      <c r="I51" s="6">
        <f t="shared" si="28"/>
        <v>7500</v>
      </c>
      <c r="J51" s="6">
        <f t="shared" si="28"/>
        <v>7500</v>
      </c>
      <c r="K51" s="6">
        <f t="shared" si="28"/>
        <v>7500</v>
      </c>
      <c r="M51" s="8"/>
      <c r="N51" s="7" t="s">
        <v>57</v>
      </c>
      <c r="O51" s="7"/>
      <c r="P51" s="4"/>
      <c r="Q51" s="4"/>
      <c r="R51" s="4"/>
      <c r="S51" s="4"/>
      <c r="T51" s="15">
        <v>-500</v>
      </c>
      <c r="U51">
        <f>+$T$51/$M$50</f>
        <v>-100</v>
      </c>
      <c r="V51">
        <f>+$T$51/$M$50</f>
        <v>-100</v>
      </c>
      <c r="W51" s="4">
        <f>+-T51+U51+V51</f>
        <v>300</v>
      </c>
    </row>
    <row r="52" spans="3:23" x14ac:dyDescent="0.45">
      <c r="C52" s="4" t="s">
        <v>8</v>
      </c>
      <c r="D52" s="4"/>
      <c r="E52" s="5">
        <f>+E51*-$N$8</f>
        <v>-1425</v>
      </c>
      <c r="F52" s="5">
        <f t="shared" ref="F52:K52" si="29">+F51*-$N$8</f>
        <v>-1650</v>
      </c>
      <c r="G52" s="5">
        <f t="shared" si="29"/>
        <v>-1875</v>
      </c>
      <c r="H52" s="5">
        <f t="shared" si="29"/>
        <v>-1875</v>
      </c>
      <c r="I52" s="5">
        <f t="shared" si="29"/>
        <v>-1875</v>
      </c>
      <c r="J52" s="5">
        <f t="shared" si="29"/>
        <v>-1875</v>
      </c>
      <c r="K52" s="5">
        <f t="shared" si="29"/>
        <v>-1875</v>
      </c>
      <c r="M52" s="8"/>
      <c r="N52" s="7"/>
      <c r="O52" s="9" cm="1">
        <f t="array" ref="O52">+SUM(-O47:O50)</f>
        <v>-16500</v>
      </c>
      <c r="P52" s="4">
        <f t="shared" ref="P52:S52" si="30">+SUM(P47:P50)</f>
        <v>-700</v>
      </c>
      <c r="Q52" s="4">
        <f t="shared" si="30"/>
        <v>-700</v>
      </c>
      <c r="R52" s="4">
        <f t="shared" si="30"/>
        <v>-700</v>
      </c>
      <c r="S52" s="4">
        <f t="shared" si="30"/>
        <v>-700</v>
      </c>
      <c r="T52" s="4">
        <f>+SUM(T47:T50)</f>
        <v>-700</v>
      </c>
      <c r="U52" s="4">
        <f>+SUM(U48:U51)</f>
        <v>-700</v>
      </c>
      <c r="V52" s="4">
        <f>+SUM(V48:V51)</f>
        <v>-700</v>
      </c>
      <c r="W52" s="5">
        <f>+SUM(W47:W51)</f>
        <v>12100</v>
      </c>
    </row>
    <row r="53" spans="3:23" x14ac:dyDescent="0.45">
      <c r="C53" s="6" t="s">
        <v>28</v>
      </c>
      <c r="D53" s="6"/>
      <c r="E53" s="6">
        <f>+E51+E52</f>
        <v>4275</v>
      </c>
      <c r="F53" s="6">
        <f t="shared" ref="F53:H53" si="31">+F51+F52</f>
        <v>4950</v>
      </c>
      <c r="G53" s="6">
        <f t="shared" si="31"/>
        <v>5625</v>
      </c>
      <c r="H53" s="6">
        <f t="shared" si="31"/>
        <v>5625</v>
      </c>
      <c r="I53" s="6">
        <f>+I51+I52</f>
        <v>5625</v>
      </c>
      <c r="J53" s="6">
        <f t="shared" ref="J53:K53" si="32">+J51+J52</f>
        <v>5625</v>
      </c>
      <c r="K53" s="6">
        <f t="shared" si="32"/>
        <v>5625</v>
      </c>
    </row>
    <row r="54" spans="3:23" x14ac:dyDescent="0.45">
      <c r="C54" s="4" t="s">
        <v>27</v>
      </c>
      <c r="D54" s="4"/>
      <c r="E54" s="4">
        <f>+-E50</f>
        <v>700</v>
      </c>
      <c r="F54" s="4">
        <f t="shared" ref="F54:K54" si="33">+-F50</f>
        <v>700</v>
      </c>
      <c r="G54" s="4">
        <f t="shared" si="33"/>
        <v>700</v>
      </c>
      <c r="H54" s="4">
        <f t="shared" si="33"/>
        <v>700</v>
      </c>
      <c r="I54" s="4">
        <f t="shared" si="33"/>
        <v>700</v>
      </c>
      <c r="J54" s="4">
        <f t="shared" si="33"/>
        <v>700</v>
      </c>
      <c r="K54" s="4">
        <f t="shared" si="33"/>
        <v>700</v>
      </c>
    </row>
    <row r="55" spans="3:23" x14ac:dyDescent="0.45">
      <c r="C55" s="6" t="s">
        <v>30</v>
      </c>
      <c r="D55" s="6"/>
      <c r="E55" s="6">
        <f>+SUM(E53:E54)</f>
        <v>4975</v>
      </c>
      <c r="F55" s="6">
        <f t="shared" ref="F55:K55" si="34">+SUM(F53:F54)</f>
        <v>5650</v>
      </c>
      <c r="G55" s="6">
        <f t="shared" si="34"/>
        <v>6325</v>
      </c>
      <c r="H55" s="6">
        <f t="shared" si="34"/>
        <v>6325</v>
      </c>
      <c r="I55" s="6">
        <f t="shared" si="34"/>
        <v>6325</v>
      </c>
      <c r="J55" s="6">
        <f t="shared" si="34"/>
        <v>6325</v>
      </c>
      <c r="K55" s="6">
        <f t="shared" si="34"/>
        <v>6325</v>
      </c>
    </row>
    <row r="56" spans="3:23" x14ac:dyDescent="0.45">
      <c r="C56" s="4" t="s">
        <v>39</v>
      </c>
      <c r="D56" s="5">
        <f>+N26</f>
        <v>-16500</v>
      </c>
      <c r="E56" s="4"/>
      <c r="F56" s="4"/>
      <c r="G56" s="4"/>
      <c r="H56" s="4"/>
      <c r="I56" s="4">
        <f>+T51</f>
        <v>-500</v>
      </c>
      <c r="J56" s="4"/>
      <c r="K56" s="4"/>
    </row>
    <row r="57" spans="3:23" x14ac:dyDescent="0.45">
      <c r="C57" s="4" t="s">
        <v>40</v>
      </c>
      <c r="D57" s="5">
        <f>+N27</f>
        <v>-2400</v>
      </c>
      <c r="E57" s="5">
        <f>+(F46*-L53)-D57</f>
        <v>2400</v>
      </c>
      <c r="F57" s="5">
        <f>+(G46*-$V$27)-E57-D57</f>
        <v>-3000</v>
      </c>
      <c r="G57" s="5">
        <f>+(H46*-$V$27)-F57-E57-D57</f>
        <v>0</v>
      </c>
      <c r="H57" s="5">
        <f>+(I46*-$V$27)-G57-F57-E57-D57</f>
        <v>0</v>
      </c>
      <c r="I57" s="5">
        <v>0</v>
      </c>
      <c r="J57" s="5">
        <f t="shared" ref="J57" si="35">+(K46*-$V$27)-I57-H57-G57-F57</f>
        <v>0</v>
      </c>
      <c r="K57" s="4"/>
    </row>
    <row r="58" spans="3:23" x14ac:dyDescent="0.45">
      <c r="C58" s="4" t="s">
        <v>45</v>
      </c>
      <c r="D58" s="4"/>
      <c r="E58" s="4"/>
      <c r="F58" s="4"/>
      <c r="G58" s="4"/>
      <c r="H58" s="4"/>
      <c r="I58" s="4"/>
      <c r="J58" s="4"/>
      <c r="K58" s="4">
        <f>+W52</f>
        <v>12100</v>
      </c>
    </row>
    <row r="59" spans="3:23" x14ac:dyDescent="0.45">
      <c r="C59" s="4" t="s">
        <v>46</v>
      </c>
      <c r="D59" s="4"/>
      <c r="E59" s="4"/>
      <c r="F59" s="4"/>
      <c r="G59" s="4"/>
      <c r="H59" s="4"/>
      <c r="I59" s="4"/>
      <c r="J59" s="4"/>
      <c r="K59" s="4" cm="1">
        <f t="array" ref="K59">+SUM(-D57:H57)</f>
        <v>3000</v>
      </c>
    </row>
    <row r="60" spans="3:23" x14ac:dyDescent="0.45">
      <c r="C60" s="4" t="s">
        <v>59</v>
      </c>
      <c r="D60" s="4"/>
      <c r="E60" s="4"/>
      <c r="F60" s="4"/>
      <c r="G60" s="4"/>
      <c r="H60" s="4"/>
      <c r="I60" s="7">
        <v>40</v>
      </c>
      <c r="J60" s="4"/>
      <c r="K60" s="4"/>
    </row>
    <row r="61" spans="3:23" x14ac:dyDescent="0.45">
      <c r="C61" s="4" t="s">
        <v>58</v>
      </c>
      <c r="D61" s="4"/>
      <c r="E61" s="4"/>
      <c r="F61" s="4"/>
      <c r="G61" s="4"/>
      <c r="H61" s="4"/>
      <c r="I61" s="5">
        <f>+-I60*N8</f>
        <v>-10</v>
      </c>
      <c r="J61" s="4"/>
      <c r="K61" s="4"/>
    </row>
    <row r="62" spans="3:23" x14ac:dyDescent="0.45">
      <c r="C62" s="12" t="s">
        <v>44</v>
      </c>
      <c r="D62" s="13">
        <f>+SUM(D55:D59)</f>
        <v>-18900</v>
      </c>
      <c r="E62" s="12">
        <f>+SUM(E55:E59)</f>
        <v>7375</v>
      </c>
      <c r="F62" s="12">
        <f>+SUM(F55:F59)</f>
        <v>2650</v>
      </c>
      <c r="G62" s="12">
        <f>+SUM(G55:G59)</f>
        <v>6325</v>
      </c>
      <c r="H62" s="12">
        <f>+SUM(H55:H59)</f>
        <v>6325</v>
      </c>
      <c r="I62" s="12">
        <f>+SUM(I55:I61)</f>
        <v>5855</v>
      </c>
      <c r="J62" s="12">
        <f>+SUM(J55:J59)</f>
        <v>6325</v>
      </c>
      <c r="K62" s="12">
        <f>+SUM(K55:K59)</f>
        <v>21425</v>
      </c>
    </row>
    <row r="65" spans="13:30" s="16" customFormat="1" x14ac:dyDescent="0.45"/>
    <row r="73" spans="13:30" x14ac:dyDescent="0.45">
      <c r="M73" s="20" t="s">
        <v>70</v>
      </c>
      <c r="N73" s="21">
        <v>0.25</v>
      </c>
      <c r="P73" s="7" t="s">
        <v>84</v>
      </c>
      <c r="Q73" s="7">
        <v>10000</v>
      </c>
      <c r="T73" s="4"/>
      <c r="U73" s="90" t="s">
        <v>60</v>
      </c>
      <c r="V73" s="90"/>
      <c r="W73" s="90"/>
      <c r="X73" s="90"/>
      <c r="Y73" s="90"/>
      <c r="Z73" s="90"/>
      <c r="AA73" s="90"/>
      <c r="AB73" s="4"/>
      <c r="AC73" s="4"/>
      <c r="AD73" s="4"/>
    </row>
    <row r="74" spans="13:30" x14ac:dyDescent="0.45">
      <c r="M74" s="19" t="s">
        <v>71</v>
      </c>
      <c r="N74" s="19">
        <v>0.3</v>
      </c>
      <c r="P74" s="7" t="s">
        <v>82</v>
      </c>
      <c r="Q74" s="7">
        <v>40000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3:30" x14ac:dyDescent="0.45">
      <c r="M75" s="19" t="s">
        <v>72</v>
      </c>
      <c r="N75" s="19">
        <v>2</v>
      </c>
      <c r="P75" s="7" t="s">
        <v>83</v>
      </c>
      <c r="Q75" s="7">
        <v>30000</v>
      </c>
      <c r="T75" s="4" t="s">
        <v>65</v>
      </c>
      <c r="U75" s="4" t="s">
        <v>61</v>
      </c>
      <c r="V75" s="4" t="s">
        <v>23</v>
      </c>
      <c r="W75" s="4" t="s">
        <v>18</v>
      </c>
      <c r="X75" s="4" t="s">
        <v>13</v>
      </c>
      <c r="Y75" s="4" t="s">
        <v>14</v>
      </c>
      <c r="Z75" s="4" t="s">
        <v>15</v>
      </c>
      <c r="AA75" s="4" t="s">
        <v>22</v>
      </c>
      <c r="AB75" s="4" t="s">
        <v>62</v>
      </c>
      <c r="AC75" s="4" t="s">
        <v>63</v>
      </c>
      <c r="AD75" s="4" t="s">
        <v>64</v>
      </c>
    </row>
    <row r="76" spans="13:30" x14ac:dyDescent="0.45">
      <c r="M76" s="19" t="s">
        <v>75</v>
      </c>
      <c r="N76" s="23">
        <v>0.2</v>
      </c>
      <c r="T76" s="19">
        <v>30</v>
      </c>
      <c r="U76" s="19" t="s">
        <v>66</v>
      </c>
      <c r="V76" s="19">
        <v>300000</v>
      </c>
      <c r="W76" s="5">
        <f>+-$V$76/$T$76</f>
        <v>-10000</v>
      </c>
      <c r="X76" s="5">
        <f t="shared" ref="X76:AA76" si="36">+-$V$76/$T$76</f>
        <v>-10000</v>
      </c>
      <c r="Y76" s="5">
        <f t="shared" si="36"/>
        <v>-10000</v>
      </c>
      <c r="Z76" s="5">
        <f t="shared" si="36"/>
        <v>-10000</v>
      </c>
      <c r="AA76" s="5">
        <f t="shared" si="36"/>
        <v>-10000</v>
      </c>
      <c r="AB76" s="5">
        <f>+SUM(V76:AA76)</f>
        <v>250000</v>
      </c>
      <c r="AC76" s="19">
        <f>+AB76*1.1</f>
        <v>275000</v>
      </c>
      <c r="AD76" s="4"/>
    </row>
    <row r="77" spans="13:30" x14ac:dyDescent="0.45">
      <c r="T77" s="19">
        <v>10</v>
      </c>
      <c r="U77" s="19" t="s">
        <v>67</v>
      </c>
      <c r="V77" s="19">
        <v>200000</v>
      </c>
      <c r="W77" s="5">
        <f>+-$V$77/$T$77</f>
        <v>-20000</v>
      </c>
      <c r="X77" s="5">
        <f t="shared" ref="X77:AA77" si="37">+-$V$77/$T$77</f>
        <v>-20000</v>
      </c>
      <c r="Y77" s="5">
        <f t="shared" si="37"/>
        <v>-20000</v>
      </c>
      <c r="Z77" s="5">
        <f t="shared" si="37"/>
        <v>-20000</v>
      </c>
      <c r="AA77" s="5">
        <f t="shared" si="37"/>
        <v>-20000</v>
      </c>
      <c r="AB77" s="5">
        <f>+SUM(V77:AA77)</f>
        <v>100000</v>
      </c>
      <c r="AC77" s="19">
        <f>+AB77*0.8</f>
        <v>80000</v>
      </c>
      <c r="AD77" s="4"/>
    </row>
    <row r="78" spans="13:30" x14ac:dyDescent="0.45">
      <c r="M78" s="4"/>
      <c r="N78" s="4" t="s">
        <v>23</v>
      </c>
      <c r="O78" s="4" t="s">
        <v>18</v>
      </c>
      <c r="P78" s="4" t="s">
        <v>19</v>
      </c>
      <c r="Q78" s="4" t="s">
        <v>20</v>
      </c>
      <c r="R78" s="4" t="s">
        <v>21</v>
      </c>
      <c r="S78" s="4" t="s">
        <v>22</v>
      </c>
      <c r="T78" s="22"/>
      <c r="U78" s="4" t="s">
        <v>69</v>
      </c>
      <c r="V78" s="4">
        <f>+SUM(V76:V77)</f>
        <v>500000</v>
      </c>
      <c r="W78" s="5">
        <f>+SUM(W76:W77)</f>
        <v>-30000</v>
      </c>
      <c r="X78" s="5">
        <f t="shared" ref="X78:AC78" si="38">+SUM(X76:X77)</f>
        <v>-30000</v>
      </c>
      <c r="Y78" s="5">
        <f t="shared" si="38"/>
        <v>-30000</v>
      </c>
      <c r="Z78" s="5">
        <f t="shared" si="38"/>
        <v>-30000</v>
      </c>
      <c r="AA78" s="5">
        <f t="shared" si="38"/>
        <v>-30000</v>
      </c>
      <c r="AB78" s="5">
        <f t="shared" si="38"/>
        <v>350000</v>
      </c>
      <c r="AC78" s="4">
        <f t="shared" si="38"/>
        <v>355000</v>
      </c>
      <c r="AD78" s="4">
        <f>+AC78-AB78</f>
        <v>5000</v>
      </c>
    </row>
    <row r="79" spans="13:30" x14ac:dyDescent="0.45">
      <c r="M79" s="4" t="s">
        <v>73</v>
      </c>
      <c r="N79" s="4"/>
      <c r="O79" s="4">
        <f>+O82/$N$75</f>
        <v>100000</v>
      </c>
      <c r="P79" s="4">
        <f t="shared" ref="P79:S79" si="39">+P82/$N$75</f>
        <v>100000</v>
      </c>
      <c r="Q79" s="4">
        <f t="shared" si="39"/>
        <v>125000</v>
      </c>
      <c r="R79" s="4">
        <f t="shared" si="39"/>
        <v>125000</v>
      </c>
      <c r="S79" s="4">
        <f t="shared" si="39"/>
        <v>125000</v>
      </c>
    </row>
    <row r="80" spans="13:30" x14ac:dyDescent="0.45">
      <c r="AA80" s="18" t="s">
        <v>68</v>
      </c>
      <c r="AB80" s="18">
        <f>+AD78</f>
        <v>5000</v>
      </c>
    </row>
    <row r="81" spans="13:28" x14ac:dyDescent="0.45">
      <c r="M81" s="4"/>
      <c r="N81" s="4" t="s">
        <v>23</v>
      </c>
      <c r="O81" s="4" t="s">
        <v>18</v>
      </c>
      <c r="P81" s="4" t="s">
        <v>19</v>
      </c>
      <c r="Q81" s="4" t="s">
        <v>20</v>
      </c>
      <c r="R81" s="4" t="s">
        <v>21</v>
      </c>
      <c r="S81" s="4" t="s">
        <v>22</v>
      </c>
      <c r="AA81" s="5" t="s">
        <v>70</v>
      </c>
      <c r="AB81" s="5">
        <f>+AB80*-N73</f>
        <v>-1250</v>
      </c>
    </row>
    <row r="82" spans="13:28" x14ac:dyDescent="0.45">
      <c r="M82" s="4" t="s">
        <v>17</v>
      </c>
      <c r="N82" s="4"/>
      <c r="O82" s="4">
        <v>200000</v>
      </c>
      <c r="P82" s="4">
        <v>200000</v>
      </c>
      <c r="Q82" s="4">
        <v>250000</v>
      </c>
      <c r="R82" s="4">
        <v>250000</v>
      </c>
      <c r="S82" s="4">
        <v>250000</v>
      </c>
    </row>
    <row r="83" spans="13:28" x14ac:dyDescent="0.45">
      <c r="M83" s="4" t="s">
        <v>24</v>
      </c>
      <c r="N83" s="4"/>
      <c r="O83" s="5">
        <f>+-O79*$N$74</f>
        <v>-30000</v>
      </c>
      <c r="P83" s="5">
        <f t="shared" ref="P83:S83" si="40">+-P79*$N$74</f>
        <v>-30000</v>
      </c>
      <c r="Q83" s="5">
        <f t="shared" si="40"/>
        <v>-37500</v>
      </c>
      <c r="R83" s="5">
        <f t="shared" si="40"/>
        <v>-37500</v>
      </c>
      <c r="S83" s="5">
        <f t="shared" si="40"/>
        <v>-37500</v>
      </c>
    </row>
    <row r="84" spans="13:28" x14ac:dyDescent="0.45">
      <c r="M84" s="4" t="s">
        <v>76</v>
      </c>
      <c r="N84" s="4"/>
      <c r="O84" s="9">
        <f>+-$Q$75</f>
        <v>-30000</v>
      </c>
      <c r="P84" s="9">
        <f t="shared" ref="P84:S84" si="41">+-$Q$75</f>
        <v>-30000</v>
      </c>
      <c r="Q84" s="9">
        <f t="shared" si="41"/>
        <v>-30000</v>
      </c>
      <c r="R84" s="9">
        <f t="shared" si="41"/>
        <v>-30000</v>
      </c>
      <c r="S84" s="9">
        <f t="shared" si="41"/>
        <v>-30000</v>
      </c>
      <c r="U84" s="9" t="s">
        <v>167</v>
      </c>
      <c r="V84" s="9">
        <f>+Q79/P79</f>
        <v>1.25</v>
      </c>
    </row>
    <row r="85" spans="13:28" x14ac:dyDescent="0.45">
      <c r="M85" s="4" t="s">
        <v>74</v>
      </c>
      <c r="N85" s="4"/>
      <c r="O85" s="5">
        <f>+-O82*$N$76</f>
        <v>-40000</v>
      </c>
      <c r="P85" s="5">
        <f>+-P82*$N$76</f>
        <v>-40000</v>
      </c>
      <c r="Q85" s="5">
        <f>+-Q82*$N$76</f>
        <v>-50000</v>
      </c>
      <c r="R85" s="5">
        <f>+-R82*$N$76</f>
        <v>-50000</v>
      </c>
      <c r="S85" s="5">
        <f>+-S82*$N$76</f>
        <v>-50000</v>
      </c>
    </row>
    <row r="86" spans="13:28" x14ac:dyDescent="0.45">
      <c r="M86" s="6" t="s">
        <v>26</v>
      </c>
      <c r="N86" s="6"/>
      <c r="O86" s="6">
        <f>+SUM(O82:O85)</f>
        <v>100000</v>
      </c>
      <c r="P86" s="6">
        <f>+SUM(P82:P85)</f>
        <v>100000</v>
      </c>
      <c r="Q86" s="6">
        <f>+SUM(Q82:Q85)</f>
        <v>132500</v>
      </c>
      <c r="R86" s="6">
        <f>+SUM(R82:R85)</f>
        <v>132500</v>
      </c>
      <c r="S86" s="6">
        <f>+SUM(S82:S85)</f>
        <v>132500</v>
      </c>
    </row>
    <row r="87" spans="13:28" x14ac:dyDescent="0.45">
      <c r="M87" s="4" t="s">
        <v>27</v>
      </c>
      <c r="N87" s="4"/>
      <c r="O87" s="5">
        <f>+W78</f>
        <v>-30000</v>
      </c>
      <c r="P87" s="5">
        <f>+X78</f>
        <v>-30000</v>
      </c>
      <c r="Q87" s="5">
        <f>+Y78</f>
        <v>-30000</v>
      </c>
      <c r="R87" s="5">
        <f>+Z78</f>
        <v>-30000</v>
      </c>
      <c r="S87" s="5">
        <f>+AA78</f>
        <v>-30000</v>
      </c>
    </row>
    <row r="88" spans="13:28" x14ac:dyDescent="0.45">
      <c r="M88" s="6" t="s">
        <v>29</v>
      </c>
      <c r="N88" s="6"/>
      <c r="O88" s="6">
        <f>+SUM(O86:O87)</f>
        <v>70000</v>
      </c>
      <c r="P88" s="6">
        <f t="shared" ref="P88:S88" si="42">+SUM(P86:P87)</f>
        <v>70000</v>
      </c>
      <c r="Q88" s="6">
        <f t="shared" si="42"/>
        <v>102500</v>
      </c>
      <c r="R88" s="6">
        <f t="shared" si="42"/>
        <v>102500</v>
      </c>
      <c r="S88" s="6">
        <f t="shared" si="42"/>
        <v>102500</v>
      </c>
    </row>
    <row r="89" spans="13:28" x14ac:dyDescent="0.45">
      <c r="M89" s="4" t="s">
        <v>8</v>
      </c>
      <c r="N89" s="4"/>
      <c r="O89" s="5">
        <f>+-O88*$N$73</f>
        <v>-17500</v>
      </c>
      <c r="P89" s="5">
        <f t="shared" ref="P89:S89" si="43">+-P88*$N$73</f>
        <v>-17500</v>
      </c>
      <c r="Q89" s="5">
        <f t="shared" si="43"/>
        <v>-25625</v>
      </c>
      <c r="R89" s="5">
        <f t="shared" si="43"/>
        <v>-25625</v>
      </c>
      <c r="S89" s="5">
        <f t="shared" si="43"/>
        <v>-25625</v>
      </c>
    </row>
    <row r="90" spans="13:28" x14ac:dyDescent="0.45">
      <c r="M90" s="6" t="s">
        <v>28</v>
      </c>
      <c r="N90" s="6"/>
      <c r="O90" s="6">
        <f>+SUM(O88:O89)</f>
        <v>52500</v>
      </c>
      <c r="P90" s="6">
        <f t="shared" ref="P90:S90" si="44">+SUM(P88:P89)</f>
        <v>52500</v>
      </c>
      <c r="Q90" s="6">
        <f t="shared" si="44"/>
        <v>76875</v>
      </c>
      <c r="R90" s="6">
        <f t="shared" si="44"/>
        <v>76875</v>
      </c>
      <c r="S90" s="6">
        <f t="shared" si="44"/>
        <v>76875</v>
      </c>
    </row>
    <row r="91" spans="13:28" x14ac:dyDescent="0.45">
      <c r="M91" s="4" t="s">
        <v>27</v>
      </c>
      <c r="N91" s="4"/>
      <c r="O91" s="4">
        <f>+-O87</f>
        <v>30000</v>
      </c>
      <c r="P91" s="4">
        <f>+-P87</f>
        <v>30000</v>
      </c>
      <c r="Q91" s="4">
        <f t="shared" ref="Q91:S91" si="45">+-Q87</f>
        <v>30000</v>
      </c>
      <c r="R91" s="4">
        <f t="shared" si="45"/>
        <v>30000</v>
      </c>
      <c r="S91" s="4">
        <f t="shared" si="45"/>
        <v>30000</v>
      </c>
    </row>
    <row r="92" spans="13:28" x14ac:dyDescent="0.45">
      <c r="M92" s="6" t="s">
        <v>30</v>
      </c>
      <c r="N92" s="6"/>
      <c r="O92" s="6">
        <f>+SUM(O90:O91)</f>
        <v>82500</v>
      </c>
      <c r="P92" s="6">
        <f t="shared" ref="P92:S92" si="46">+SUM(P90:P91)</f>
        <v>82500</v>
      </c>
      <c r="Q92" s="6">
        <f t="shared" si="46"/>
        <v>106875</v>
      </c>
      <c r="R92" s="6">
        <f t="shared" si="46"/>
        <v>106875</v>
      </c>
      <c r="S92" s="6">
        <f t="shared" si="46"/>
        <v>106875</v>
      </c>
    </row>
    <row r="93" spans="13:28" x14ac:dyDescent="0.45">
      <c r="M93" s="4" t="s">
        <v>77</v>
      </c>
      <c r="N93" s="5">
        <f>+-Q73</f>
        <v>-10000</v>
      </c>
      <c r="O93" s="4"/>
      <c r="P93" s="4"/>
      <c r="Q93" s="4"/>
      <c r="R93" s="4"/>
      <c r="S93" s="4"/>
    </row>
    <row r="94" spans="13:28" x14ac:dyDescent="0.45">
      <c r="M94" s="4" t="s">
        <v>39</v>
      </c>
      <c r="N94" s="5">
        <f>+-V78</f>
        <v>-500000</v>
      </c>
      <c r="O94" s="4"/>
      <c r="P94" s="4"/>
      <c r="Q94" s="4"/>
      <c r="R94" s="4"/>
      <c r="S94" s="4"/>
    </row>
    <row r="95" spans="13:28" x14ac:dyDescent="0.45">
      <c r="M95" s="4" t="s">
        <v>78</v>
      </c>
      <c r="N95" s="5">
        <f>+-Q74</f>
        <v>-40000</v>
      </c>
      <c r="O95" s="4"/>
      <c r="P95" s="24">
        <f>+-N95*(1-V84)</f>
        <v>-10000</v>
      </c>
      <c r="Q95" s="4"/>
      <c r="R95" s="4"/>
      <c r="S95" s="4"/>
    </row>
    <row r="96" spans="13:28" x14ac:dyDescent="0.45">
      <c r="M96" s="4" t="s">
        <v>79</v>
      </c>
      <c r="N96" s="4"/>
      <c r="O96" s="4"/>
      <c r="P96" s="4"/>
      <c r="Q96" s="4"/>
      <c r="R96" s="4"/>
      <c r="S96" s="4">
        <f>+AC78</f>
        <v>355000</v>
      </c>
    </row>
    <row r="97" spans="2:21" x14ac:dyDescent="0.45">
      <c r="M97" s="4" t="s">
        <v>80</v>
      </c>
      <c r="N97" s="4"/>
      <c r="O97" s="4"/>
      <c r="P97" s="4"/>
      <c r="Q97" s="4"/>
      <c r="R97" s="4"/>
      <c r="S97" s="4">
        <f>+-SUM(N95:P95)</f>
        <v>50000</v>
      </c>
    </row>
    <row r="98" spans="2:21" x14ac:dyDescent="0.45">
      <c r="M98" s="4" t="s">
        <v>81</v>
      </c>
      <c r="N98" s="4"/>
      <c r="O98" s="4"/>
      <c r="P98" s="4"/>
      <c r="Q98" s="4"/>
      <c r="R98" s="4"/>
      <c r="S98" s="5">
        <f>+AB81</f>
        <v>-1250</v>
      </c>
    </row>
    <row r="99" spans="2:21" x14ac:dyDescent="0.45">
      <c r="M99" s="12" t="s">
        <v>44</v>
      </c>
      <c r="N99" s="6">
        <f>+SUM(N92:N98)</f>
        <v>-550000</v>
      </c>
      <c r="O99" s="6">
        <f t="shared" ref="O99:S99" si="47">+SUM(O92:O98)</f>
        <v>82500</v>
      </c>
      <c r="P99" s="6">
        <f t="shared" si="47"/>
        <v>72500</v>
      </c>
      <c r="Q99" s="6">
        <f t="shared" si="47"/>
        <v>106875</v>
      </c>
      <c r="R99" s="6">
        <f t="shared" si="47"/>
        <v>106875</v>
      </c>
      <c r="S99" s="6">
        <f t="shared" si="47"/>
        <v>510625</v>
      </c>
    </row>
    <row r="100" spans="2:21" x14ac:dyDescent="0.45">
      <c r="B100" s="90" t="s">
        <v>85</v>
      </c>
      <c r="C100" s="90"/>
      <c r="D100" s="90"/>
      <c r="E100" s="90"/>
      <c r="F100" s="90"/>
      <c r="G100" s="90"/>
      <c r="H100" s="90"/>
    </row>
    <row r="102" spans="2:21" x14ac:dyDescent="0.45">
      <c r="B102" s="12" t="s">
        <v>44</v>
      </c>
      <c r="C102" s="13">
        <f>+N99</f>
        <v>-550000</v>
      </c>
      <c r="D102" s="26">
        <f t="shared" ref="D102:H102" si="48">+O99</f>
        <v>82500</v>
      </c>
      <c r="E102" s="26">
        <f t="shared" si="48"/>
        <v>72500</v>
      </c>
      <c r="F102" s="26">
        <f t="shared" si="48"/>
        <v>106875</v>
      </c>
      <c r="G102" s="26">
        <f t="shared" si="48"/>
        <v>106875</v>
      </c>
      <c r="H102" s="26">
        <f t="shared" si="48"/>
        <v>510625</v>
      </c>
      <c r="L102" s="89" t="s">
        <v>51</v>
      </c>
      <c r="M102" s="89"/>
      <c r="N102" s="89"/>
      <c r="O102" s="89"/>
      <c r="P102" s="89"/>
      <c r="Q102" s="89"/>
      <c r="R102" s="89"/>
    </row>
    <row r="103" spans="2:21" x14ac:dyDescent="0.45">
      <c r="B103" s="4" t="s">
        <v>47</v>
      </c>
      <c r="C103" s="4">
        <f>+M104</f>
        <v>350000</v>
      </c>
      <c r="D103" s="4"/>
      <c r="E103" s="4"/>
      <c r="F103" s="4"/>
      <c r="G103" s="4"/>
      <c r="H103" s="4"/>
      <c r="L103" s="4"/>
      <c r="M103" s="4" t="s">
        <v>23</v>
      </c>
      <c r="N103" s="4" t="s">
        <v>18</v>
      </c>
      <c r="O103" s="4" t="s">
        <v>19</v>
      </c>
      <c r="P103" s="4" t="s">
        <v>20</v>
      </c>
      <c r="Q103" s="4" t="s">
        <v>21</v>
      </c>
      <c r="R103" s="4" t="s">
        <v>22</v>
      </c>
      <c r="T103" s="7" t="s">
        <v>50</v>
      </c>
      <c r="U103" s="11">
        <v>0.08</v>
      </c>
    </row>
    <row r="104" spans="2:21" x14ac:dyDescent="0.45">
      <c r="B104" s="4" t="s">
        <v>48</v>
      </c>
      <c r="C104" s="4"/>
      <c r="D104" s="5">
        <f>+N105</f>
        <v>-70000</v>
      </c>
      <c r="E104" s="5">
        <f t="shared" ref="E104" si="49">+O105</f>
        <v>-70000</v>
      </c>
      <c r="F104" s="5">
        <f t="shared" ref="F104" si="50">+P105</f>
        <v>-70000</v>
      </c>
      <c r="G104" s="5">
        <f t="shared" ref="G104" si="51">+Q105</f>
        <v>-70000</v>
      </c>
      <c r="H104" s="5">
        <f t="shared" ref="H104" si="52">+R105</f>
        <v>-70000</v>
      </c>
      <c r="J104" s="25" t="s">
        <v>86</v>
      </c>
      <c r="K104" s="7">
        <v>5</v>
      </c>
      <c r="L104" s="4" t="s">
        <v>47</v>
      </c>
      <c r="M104" s="7">
        <f>+-N94*70%</f>
        <v>350000</v>
      </c>
      <c r="N104" s="4"/>
      <c r="O104" s="4"/>
      <c r="P104" s="4"/>
      <c r="Q104" s="4"/>
      <c r="R104" s="4"/>
    </row>
    <row r="105" spans="2:21" x14ac:dyDescent="0.45">
      <c r="B105" s="4" t="s">
        <v>53</v>
      </c>
      <c r="C105" s="4"/>
      <c r="D105" s="5">
        <f>+N107</f>
        <v>-28000</v>
      </c>
      <c r="E105" s="5">
        <f t="shared" ref="E105" si="53">+O107</f>
        <v>-22400</v>
      </c>
      <c r="F105" s="5">
        <f t="shared" ref="F105" si="54">+P107</f>
        <v>-16800</v>
      </c>
      <c r="G105" s="5">
        <f t="shared" ref="G105" si="55">+Q107</f>
        <v>-11200</v>
      </c>
      <c r="H105" s="5">
        <f t="shared" ref="H105" si="56">+R107</f>
        <v>-5600</v>
      </c>
      <c r="L105" s="4" t="s">
        <v>48</v>
      </c>
      <c r="M105" s="4"/>
      <c r="N105" s="5">
        <f>+-$M$104/$K$104</f>
        <v>-70000</v>
      </c>
      <c r="O105" s="5">
        <f t="shared" ref="O105:R105" si="57">+-$M$104/$K$104</f>
        <v>-70000</v>
      </c>
      <c r="P105" s="5">
        <f t="shared" si="57"/>
        <v>-70000</v>
      </c>
      <c r="Q105" s="5">
        <f t="shared" si="57"/>
        <v>-70000</v>
      </c>
      <c r="R105" s="5">
        <f t="shared" si="57"/>
        <v>-70000</v>
      </c>
    </row>
    <row r="106" spans="2:21" x14ac:dyDescent="0.45">
      <c r="B106" s="4" t="s">
        <v>52</v>
      </c>
      <c r="C106" s="4"/>
      <c r="D106" s="4">
        <f>+-D105*$N$73</f>
        <v>7000</v>
      </c>
      <c r="E106" s="4">
        <f t="shared" ref="E106:H106" si="58">+-E105*$N$73</f>
        <v>5600</v>
      </c>
      <c r="F106" s="4">
        <f t="shared" si="58"/>
        <v>4200</v>
      </c>
      <c r="G106" s="4">
        <f t="shared" si="58"/>
        <v>2800</v>
      </c>
      <c r="H106" s="4">
        <f t="shared" si="58"/>
        <v>1400</v>
      </c>
      <c r="L106" s="4" t="s">
        <v>49</v>
      </c>
      <c r="M106" s="4">
        <f>+M104</f>
        <v>350000</v>
      </c>
      <c r="N106" s="4">
        <f>+M106+N105</f>
        <v>280000</v>
      </c>
      <c r="O106" s="4">
        <f t="shared" ref="O106" si="59">+N106+O105</f>
        <v>210000</v>
      </c>
      <c r="P106" s="4">
        <f t="shared" ref="P106" si="60">+O106+P105</f>
        <v>140000</v>
      </c>
      <c r="Q106" s="4">
        <f t="shared" ref="Q106:R106" si="61">+P106+Q105</f>
        <v>70000</v>
      </c>
      <c r="R106" s="4">
        <f t="shared" si="61"/>
        <v>0</v>
      </c>
    </row>
    <row r="107" spans="2:21" x14ac:dyDescent="0.45">
      <c r="B107" s="12" t="s">
        <v>54</v>
      </c>
      <c r="C107" s="13">
        <f>+SUM(C102:C106)</f>
        <v>-200000</v>
      </c>
      <c r="D107" s="13">
        <f t="shared" ref="D107:H107" si="62">+SUM(D102:D106)</f>
        <v>-8500</v>
      </c>
      <c r="E107" s="13">
        <f t="shared" si="62"/>
        <v>-14300</v>
      </c>
      <c r="F107" s="12">
        <f t="shared" si="62"/>
        <v>24275</v>
      </c>
      <c r="G107" s="12">
        <f t="shared" si="62"/>
        <v>28475</v>
      </c>
      <c r="H107" s="12">
        <f t="shared" si="62"/>
        <v>436425</v>
      </c>
      <c r="L107" s="4" t="s">
        <v>50</v>
      </c>
      <c r="M107" s="4"/>
      <c r="N107" s="5">
        <f>+-M106*$U$103</f>
        <v>-28000</v>
      </c>
      <c r="O107" s="5">
        <f t="shared" ref="O107:R107" si="63">+-N106*$U$103</f>
        <v>-22400</v>
      </c>
      <c r="P107" s="5">
        <f t="shared" si="63"/>
        <v>-16800</v>
      </c>
      <c r="Q107" s="5">
        <f t="shared" si="63"/>
        <v>-11200</v>
      </c>
      <c r="R107" s="5">
        <f t="shared" si="63"/>
        <v>-5600</v>
      </c>
    </row>
    <row r="116" spans="2:13" ht="14.65" thickBot="1" x14ac:dyDescent="0.5">
      <c r="L116" t="s">
        <v>91</v>
      </c>
      <c r="M116" s="28" t="s">
        <v>92</v>
      </c>
    </row>
    <row r="117" spans="2:13" x14ac:dyDescent="0.45">
      <c r="M117" t="s">
        <v>93</v>
      </c>
    </row>
    <row r="120" spans="2:13" x14ac:dyDescent="0.45">
      <c r="C120" s="6" t="s">
        <v>87</v>
      </c>
      <c r="D120" s="27">
        <f>+IRR(N99:S99)</f>
        <v>0.12811401110059739</v>
      </c>
      <c r="E120" t="s">
        <v>88</v>
      </c>
      <c r="F120" s="87" t="s">
        <v>89</v>
      </c>
      <c r="G120" s="87"/>
    </row>
    <row r="121" spans="2:13" x14ac:dyDescent="0.45">
      <c r="C121" s="6" t="s">
        <v>90</v>
      </c>
      <c r="D121" s="29">
        <f>+(-O84-O87)/((N75-(N74+-O85/O79)))</f>
        <v>46153.846153846149</v>
      </c>
      <c r="F121" s="87" t="s">
        <v>94</v>
      </c>
      <c r="G121" s="87"/>
      <c r="H121" s="87"/>
      <c r="I121" s="87"/>
      <c r="J121" s="87"/>
      <c r="K121" s="87"/>
      <c r="L121" s="87"/>
      <c r="M121" s="87"/>
    </row>
    <row r="127" spans="2:13" x14ac:dyDescent="0.45">
      <c r="C127" t="s">
        <v>99</v>
      </c>
      <c r="D127" t="s">
        <v>100</v>
      </c>
      <c r="E127" t="s">
        <v>101</v>
      </c>
      <c r="F127" t="s">
        <v>102</v>
      </c>
      <c r="G127" t="s">
        <v>103</v>
      </c>
      <c r="H127" t="s">
        <v>104</v>
      </c>
    </row>
    <row r="128" spans="2:13" x14ac:dyDescent="0.45">
      <c r="B128" s="12" t="s">
        <v>54</v>
      </c>
      <c r="C128" s="13">
        <f>+C107</f>
        <v>-200000</v>
      </c>
      <c r="D128" s="13">
        <f t="shared" ref="D128:H128" si="64">+D107</f>
        <v>-8500</v>
      </c>
      <c r="E128" s="13">
        <f t="shared" si="64"/>
        <v>-14300</v>
      </c>
      <c r="F128" s="13">
        <f t="shared" si="64"/>
        <v>24275</v>
      </c>
      <c r="G128" s="13">
        <f t="shared" si="64"/>
        <v>28475</v>
      </c>
      <c r="H128" s="13">
        <f t="shared" si="64"/>
        <v>436425</v>
      </c>
      <c r="J128" s="89" t="s">
        <v>98</v>
      </c>
      <c r="K128" s="89"/>
    </row>
    <row r="130" spans="1:12" x14ac:dyDescent="0.45">
      <c r="A130" s="90" t="s">
        <v>95</v>
      </c>
      <c r="B130" s="90"/>
      <c r="C130" s="30">
        <v>1</v>
      </c>
      <c r="D130" s="4">
        <f>+C130*1.1</f>
        <v>1.1000000000000001</v>
      </c>
      <c r="E130" s="4">
        <f t="shared" ref="E130:H130" si="65">+D130*1.1</f>
        <v>1.2100000000000002</v>
      </c>
      <c r="F130" s="4">
        <f t="shared" si="65"/>
        <v>1.3310000000000004</v>
      </c>
      <c r="G130" s="4">
        <f t="shared" si="65"/>
        <v>1.4641000000000006</v>
      </c>
      <c r="H130" s="4">
        <f t="shared" si="65"/>
        <v>1.6105100000000008</v>
      </c>
    </row>
    <row r="131" spans="1:12" x14ac:dyDescent="0.45">
      <c r="A131" s="4"/>
      <c r="B131" s="4" t="s">
        <v>96</v>
      </c>
      <c r="C131" s="4">
        <f>+C128/C130</f>
        <v>-200000</v>
      </c>
      <c r="D131" s="31">
        <f t="shared" ref="D131:H131" si="66">+D128/D130</f>
        <v>-7727.272727272727</v>
      </c>
      <c r="E131" s="31">
        <f t="shared" si="66"/>
        <v>-11818.181818181816</v>
      </c>
      <c r="F131" s="31">
        <f t="shared" si="66"/>
        <v>18238.166791885793</v>
      </c>
      <c r="G131" s="31">
        <f t="shared" si="66"/>
        <v>19448.808141520381</v>
      </c>
      <c r="H131" s="4">
        <f t="shared" si="66"/>
        <v>270985.58841609169</v>
      </c>
    </row>
    <row r="132" spans="1:12" x14ac:dyDescent="0.45">
      <c r="A132" s="4"/>
      <c r="B132" s="4" t="s">
        <v>97</v>
      </c>
      <c r="C132" s="4">
        <f>+C131</f>
        <v>-200000</v>
      </c>
      <c r="D132" s="31">
        <f>+C132+D131</f>
        <v>-207727.27272727274</v>
      </c>
      <c r="E132" s="31">
        <f t="shared" ref="E132:H132" si="67">+D132+E131</f>
        <v>-219545.45454545456</v>
      </c>
      <c r="F132" s="31">
        <f t="shared" si="67"/>
        <v>-201307.28775356876</v>
      </c>
      <c r="G132" s="31">
        <f t="shared" si="67"/>
        <v>-181858.47961204837</v>
      </c>
      <c r="H132" s="32">
        <f t="shared" si="67"/>
        <v>89127.108804043324</v>
      </c>
      <c r="I132" s="85" t="s">
        <v>105</v>
      </c>
      <c r="J132" s="86"/>
      <c r="K132" s="86"/>
      <c r="L132" s="86"/>
    </row>
    <row r="134" spans="1:12" ht="14.25" customHeight="1" x14ac:dyDescent="0.45"/>
    <row r="135" spans="1:12" s="16" customFormat="1" x14ac:dyDescent="0.45"/>
  </sheetData>
  <mergeCells count="10">
    <mergeCell ref="I132:L132"/>
    <mergeCell ref="F120:G120"/>
    <mergeCell ref="F121:M121"/>
    <mergeCell ref="U26:X26"/>
    <mergeCell ref="M33:S33"/>
    <mergeCell ref="U73:AA73"/>
    <mergeCell ref="L102:R102"/>
    <mergeCell ref="B100:H100"/>
    <mergeCell ref="A130:B130"/>
    <mergeCell ref="J128:K128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263B6-70AF-437C-A042-ACE04BA25806}">
  <dimension ref="B2:AC69"/>
  <sheetViews>
    <sheetView zoomScale="73" workbookViewId="0">
      <selection activeCell="W24" sqref="W24"/>
    </sheetView>
  </sheetViews>
  <sheetFormatPr baseColWidth="10" defaultRowHeight="14.25" x14ac:dyDescent="0.45"/>
  <cols>
    <col min="4" max="5" width="12.265625" bestFit="1" customWidth="1"/>
    <col min="10" max="10" width="10.73046875" bestFit="1" customWidth="1"/>
    <col min="12" max="12" width="12.33203125" bestFit="1" customWidth="1"/>
    <col min="13" max="13" width="25" customWidth="1"/>
    <col min="14" max="16" width="10.9296875" bestFit="1" customWidth="1"/>
    <col min="17" max="17" width="11.1328125" bestFit="1" customWidth="1"/>
    <col min="18" max="18" width="10.73046875" bestFit="1" customWidth="1"/>
    <col min="19" max="19" width="12.265625" customWidth="1"/>
    <col min="20" max="20" width="10.9296875" bestFit="1" customWidth="1"/>
    <col min="21" max="22" width="10.73046875" bestFit="1" customWidth="1"/>
    <col min="24" max="24" width="11.265625" customWidth="1"/>
  </cols>
  <sheetData>
    <row r="2" spans="10:29" x14ac:dyDescent="0.45">
      <c r="L2" s="64" t="s">
        <v>70</v>
      </c>
      <c r="M2" s="66">
        <v>0.25</v>
      </c>
      <c r="O2" t="s">
        <v>82</v>
      </c>
      <c r="P2" s="40">
        <v>3200</v>
      </c>
    </row>
    <row r="5" spans="10:29" x14ac:dyDescent="0.45">
      <c r="J5" t="s">
        <v>106</v>
      </c>
      <c r="K5" s="60" t="s">
        <v>107</v>
      </c>
      <c r="L5" s="61">
        <v>2012</v>
      </c>
      <c r="M5" s="61">
        <v>2013</v>
      </c>
      <c r="N5" s="61">
        <v>2014</v>
      </c>
      <c r="O5" s="61">
        <v>2015</v>
      </c>
      <c r="P5" s="61">
        <v>2016</v>
      </c>
      <c r="Q5" s="61">
        <v>2017</v>
      </c>
      <c r="S5" s="4"/>
      <c r="T5" s="4" t="s">
        <v>108</v>
      </c>
      <c r="U5" s="4">
        <v>1</v>
      </c>
      <c r="V5" s="4">
        <v>2</v>
      </c>
      <c r="W5" s="4">
        <v>3</v>
      </c>
      <c r="X5" s="4">
        <v>4</v>
      </c>
      <c r="Y5" s="4">
        <v>5</v>
      </c>
      <c r="Z5" s="4" t="s">
        <v>109</v>
      </c>
      <c r="AA5" s="4" t="s">
        <v>110</v>
      </c>
    </row>
    <row r="6" spans="10:29" x14ac:dyDescent="0.45">
      <c r="K6" s="4" t="s">
        <v>111</v>
      </c>
      <c r="L6" s="4"/>
      <c r="M6" s="63">
        <f>N6*0.8</f>
        <v>32</v>
      </c>
      <c r="N6" s="64">
        <v>40</v>
      </c>
      <c r="O6" s="64">
        <v>40</v>
      </c>
      <c r="P6" s="64">
        <v>40</v>
      </c>
      <c r="Q6" s="64">
        <v>40</v>
      </c>
      <c r="R6" s="65"/>
      <c r="S6" s="64" t="s">
        <v>112</v>
      </c>
      <c r="T6" s="62">
        <v>10000</v>
      </c>
      <c r="U6" s="34"/>
      <c r="V6" s="34"/>
      <c r="W6" s="34"/>
      <c r="X6" s="34"/>
      <c r="Y6" s="34"/>
      <c r="Z6" s="33">
        <f>+T6</f>
        <v>10000</v>
      </c>
      <c r="AA6" s="33">
        <f>+Z6</f>
        <v>10000</v>
      </c>
      <c r="AB6" t="s">
        <v>113</v>
      </c>
    </row>
    <row r="7" spans="10:29" x14ac:dyDescent="0.45">
      <c r="K7" s="4" t="s">
        <v>114</v>
      </c>
      <c r="L7" s="4"/>
      <c r="M7" s="64">
        <v>2500</v>
      </c>
      <c r="N7" s="64">
        <v>2500</v>
      </c>
      <c r="O7" s="64">
        <v>2500</v>
      </c>
      <c r="P7" s="64">
        <v>2500</v>
      </c>
      <c r="Q7" s="64">
        <v>2500</v>
      </c>
      <c r="R7" s="65">
        <v>20</v>
      </c>
      <c r="S7" s="64" t="s">
        <v>115</v>
      </c>
      <c r="T7" s="62">
        <v>80000</v>
      </c>
      <c r="U7" s="33">
        <f>-$T$7/$R$7</f>
        <v>-4000</v>
      </c>
      <c r="V7" s="33">
        <f t="shared" ref="V7:Y7" si="0">-$T$7/$R$7</f>
        <v>-4000</v>
      </c>
      <c r="W7" s="33">
        <f t="shared" si="0"/>
        <v>-4000</v>
      </c>
      <c r="X7" s="33">
        <f t="shared" si="0"/>
        <v>-4000</v>
      </c>
      <c r="Y7" s="33">
        <f t="shared" si="0"/>
        <v>-4000</v>
      </c>
      <c r="Z7" s="33">
        <f>SUM(T7:Y7)</f>
        <v>60000</v>
      </c>
      <c r="AA7" s="33">
        <f>+Z7</f>
        <v>60000</v>
      </c>
    </row>
    <row r="8" spans="10:29" x14ac:dyDescent="0.45">
      <c r="J8" s="35"/>
      <c r="K8" s="12" t="s">
        <v>116</v>
      </c>
      <c r="L8" s="12"/>
      <c r="M8" s="37">
        <f>M6*M7</f>
        <v>80000</v>
      </c>
      <c r="N8" s="37">
        <f t="shared" ref="N8:Q8" si="1">N6*N7</f>
        <v>100000</v>
      </c>
      <c r="O8" s="37">
        <f t="shared" si="1"/>
        <v>100000</v>
      </c>
      <c r="P8" s="37">
        <f t="shared" si="1"/>
        <v>100000</v>
      </c>
      <c r="Q8" s="37">
        <f t="shared" si="1"/>
        <v>100000</v>
      </c>
      <c r="R8" s="65">
        <v>10</v>
      </c>
      <c r="S8" s="64" t="s">
        <v>162</v>
      </c>
      <c r="T8" s="62">
        <v>70000</v>
      </c>
      <c r="U8" s="33">
        <f>-$T$8/$R$8</f>
        <v>-7000</v>
      </c>
      <c r="V8" s="33">
        <f t="shared" ref="V8:Y8" si="2">-$T$8/$R$8</f>
        <v>-7000</v>
      </c>
      <c r="W8" s="33">
        <f t="shared" si="2"/>
        <v>-7000</v>
      </c>
      <c r="X8" s="33">
        <f t="shared" si="2"/>
        <v>-7000</v>
      </c>
      <c r="Y8" s="33">
        <f t="shared" si="2"/>
        <v>-7000</v>
      </c>
      <c r="Z8" s="33">
        <f>SUM(T8:Y8)</f>
        <v>35000</v>
      </c>
      <c r="AA8" s="33">
        <f>Z8*1.1</f>
        <v>38500</v>
      </c>
      <c r="AB8" s="35"/>
      <c r="AC8" s="35"/>
    </row>
    <row r="9" spans="10:29" x14ac:dyDescent="0.45">
      <c r="K9" s="4" t="s">
        <v>117</v>
      </c>
      <c r="L9" s="55"/>
      <c r="M9" s="69">
        <f>-150*M6</f>
        <v>-4800</v>
      </c>
      <c r="N9" s="69">
        <f t="shared" ref="N9:Q9" si="3">-150*N6</f>
        <v>-6000</v>
      </c>
      <c r="O9" s="69">
        <f t="shared" si="3"/>
        <v>-6000</v>
      </c>
      <c r="P9" s="69">
        <f t="shared" si="3"/>
        <v>-6000</v>
      </c>
      <c r="Q9" s="69">
        <f t="shared" si="3"/>
        <v>-6000</v>
      </c>
      <c r="S9" s="4"/>
      <c r="T9" s="37">
        <f>SUM(T6:T8)</f>
        <v>160000</v>
      </c>
      <c r="U9" s="37">
        <f t="shared" ref="U9:Z9" si="4">SUM(U6:U8)</f>
        <v>-11000</v>
      </c>
      <c r="V9" s="37">
        <f t="shared" si="4"/>
        <v>-11000</v>
      </c>
      <c r="W9" s="37">
        <f t="shared" si="4"/>
        <v>-11000</v>
      </c>
      <c r="X9" s="37">
        <f t="shared" si="4"/>
        <v>-11000</v>
      </c>
      <c r="Y9" s="37">
        <f t="shared" si="4"/>
        <v>-11000</v>
      </c>
      <c r="Z9" s="38">
        <f t="shared" si="4"/>
        <v>105000</v>
      </c>
      <c r="AA9" s="37">
        <f>SUM(AA6:AA8)</f>
        <v>108500</v>
      </c>
    </row>
    <row r="10" spans="10:29" x14ac:dyDescent="0.45">
      <c r="K10" s="4" t="s">
        <v>118</v>
      </c>
      <c r="L10" s="55"/>
      <c r="M10" s="69">
        <f>-100*M6</f>
        <v>-3200</v>
      </c>
      <c r="N10" s="69">
        <f t="shared" ref="N10:Q10" si="5">-100*N6</f>
        <v>-4000</v>
      </c>
      <c r="O10" s="69">
        <f t="shared" si="5"/>
        <v>-4000</v>
      </c>
      <c r="P10" s="69">
        <f t="shared" si="5"/>
        <v>-4000</v>
      </c>
      <c r="Q10" s="69">
        <f t="shared" si="5"/>
        <v>-4000</v>
      </c>
      <c r="AA10" s="38">
        <f>AA9-Z9</f>
        <v>3500</v>
      </c>
    </row>
    <row r="11" spans="10:29" x14ac:dyDescent="0.45">
      <c r="J11">
        <f>M11/M8</f>
        <v>-0.08</v>
      </c>
      <c r="K11" s="4" t="s">
        <v>119</v>
      </c>
      <c r="L11" s="55"/>
      <c r="M11" s="70">
        <v>-6400</v>
      </c>
      <c r="N11" s="69">
        <f>$J$11*N8</f>
        <v>-8000</v>
      </c>
      <c r="O11" s="69">
        <f t="shared" ref="O11:Q11" si="6">$J$11*O8</f>
        <v>-8000</v>
      </c>
      <c r="P11" s="69">
        <f t="shared" si="6"/>
        <v>-8000</v>
      </c>
      <c r="Q11" s="69">
        <f t="shared" si="6"/>
        <v>-8000</v>
      </c>
      <c r="S11" s="35"/>
      <c r="T11" s="35"/>
      <c r="AA11" s="18" t="s">
        <v>120</v>
      </c>
      <c r="AB11" s="39">
        <f>+AA10*-M2</f>
        <v>-875</v>
      </c>
    </row>
    <row r="12" spans="10:29" x14ac:dyDescent="0.45">
      <c r="J12" s="35"/>
      <c r="K12" s="4" t="s">
        <v>76</v>
      </c>
      <c r="L12" s="4"/>
      <c r="M12" s="69">
        <v>-9000</v>
      </c>
      <c r="N12" s="69">
        <v>-9000</v>
      </c>
      <c r="O12" s="69">
        <v>-9000</v>
      </c>
      <c r="P12" s="69">
        <v>-9000</v>
      </c>
      <c r="Q12" s="69">
        <v>-9000</v>
      </c>
      <c r="R12" s="35"/>
      <c r="AB12" s="35"/>
      <c r="AC12" s="35"/>
    </row>
    <row r="13" spans="10:29" x14ac:dyDescent="0.45">
      <c r="K13" s="12" t="s">
        <v>163</v>
      </c>
      <c r="L13" s="12"/>
      <c r="M13" s="37">
        <f>SUM(M8:M12)</f>
        <v>56600</v>
      </c>
      <c r="N13" s="37">
        <f t="shared" ref="N13:Q13" si="7">SUM(N8:N12)</f>
        <v>73000</v>
      </c>
      <c r="O13" s="37">
        <f t="shared" si="7"/>
        <v>73000</v>
      </c>
      <c r="P13" s="37">
        <f t="shared" si="7"/>
        <v>73000</v>
      </c>
      <c r="Q13" s="37">
        <f t="shared" si="7"/>
        <v>73000</v>
      </c>
      <c r="S13" s="35"/>
      <c r="T13" s="35"/>
      <c r="U13" s="35"/>
      <c r="V13" s="35"/>
      <c r="W13" s="35"/>
      <c r="X13" s="35"/>
      <c r="Y13" s="35"/>
      <c r="Z13" s="35"/>
      <c r="AA13" s="35"/>
    </row>
    <row r="14" spans="10:29" x14ac:dyDescent="0.45">
      <c r="K14" s="4" t="s">
        <v>27</v>
      </c>
      <c r="L14" s="4"/>
      <c r="M14" s="71">
        <f>+U9</f>
        <v>-11000</v>
      </c>
      <c r="N14" s="71">
        <f t="shared" ref="N14:Q14" si="8">+V9</f>
        <v>-11000</v>
      </c>
      <c r="O14" s="71">
        <f t="shared" si="8"/>
        <v>-11000</v>
      </c>
      <c r="P14" s="71">
        <f t="shared" si="8"/>
        <v>-11000</v>
      </c>
      <c r="Q14" s="71">
        <f t="shared" si="8"/>
        <v>-11000</v>
      </c>
    </row>
    <row r="15" spans="10:29" x14ac:dyDescent="0.45">
      <c r="K15" s="12" t="s">
        <v>164</v>
      </c>
      <c r="L15" s="12"/>
      <c r="M15" s="39">
        <f>M13+M14</f>
        <v>45600</v>
      </c>
      <c r="N15" s="39">
        <f t="shared" ref="N15:Q15" si="9">N13+N14</f>
        <v>62000</v>
      </c>
      <c r="O15" s="39">
        <f t="shared" si="9"/>
        <v>62000</v>
      </c>
      <c r="P15" s="39">
        <f t="shared" si="9"/>
        <v>62000</v>
      </c>
      <c r="Q15" s="39">
        <f t="shared" si="9"/>
        <v>62000</v>
      </c>
      <c r="T15" s="91" t="s">
        <v>166</v>
      </c>
      <c r="U15" s="91"/>
      <c r="V15" s="68">
        <v>4</v>
      </c>
    </row>
    <row r="16" spans="10:29" x14ac:dyDescent="0.45">
      <c r="K16" s="4" t="s">
        <v>70</v>
      </c>
      <c r="L16" s="57"/>
      <c r="M16" s="69">
        <f>M15*-$M$2</f>
        <v>-11400</v>
      </c>
      <c r="N16" s="69">
        <f t="shared" ref="N16:Q16" si="10">N15*-$M$2</f>
        <v>-15500</v>
      </c>
      <c r="O16" s="69">
        <f>O15*-$M$2</f>
        <v>-15500</v>
      </c>
      <c r="P16" s="69">
        <f t="shared" si="10"/>
        <v>-15500</v>
      </c>
      <c r="Q16" s="69">
        <f t="shared" si="10"/>
        <v>-15500</v>
      </c>
    </row>
    <row r="17" spans="10:25" x14ac:dyDescent="0.45">
      <c r="K17" s="6" t="s">
        <v>165</v>
      </c>
      <c r="L17" s="6"/>
      <c r="M17" s="67">
        <f>SUM(M15:M16)</f>
        <v>34200</v>
      </c>
      <c r="N17" s="67">
        <f t="shared" ref="N17:Q17" si="11">SUM(N15:N16)</f>
        <v>46500</v>
      </c>
      <c r="O17" s="67">
        <f t="shared" si="11"/>
        <v>46500</v>
      </c>
      <c r="P17" s="67">
        <f t="shared" si="11"/>
        <v>46500</v>
      </c>
      <c r="Q17" s="67">
        <f t="shared" si="11"/>
        <v>46500</v>
      </c>
      <c r="S17" s="4"/>
      <c r="T17" s="4">
        <v>2012</v>
      </c>
      <c r="U17" s="4">
        <v>2013</v>
      </c>
      <c r="V17" s="4">
        <v>2014</v>
      </c>
      <c r="W17" s="4">
        <v>2015</v>
      </c>
      <c r="X17" s="4">
        <v>2016</v>
      </c>
    </row>
    <row r="18" spans="10:25" x14ac:dyDescent="0.45">
      <c r="K18" s="4" t="s">
        <v>121</v>
      </c>
      <c r="L18" s="4"/>
      <c r="M18" s="33">
        <f>-M14</f>
        <v>11000</v>
      </c>
      <c r="N18" s="33">
        <f t="shared" ref="N18:Q18" si="12">-N14</f>
        <v>11000</v>
      </c>
      <c r="O18" s="33">
        <f t="shared" si="12"/>
        <v>11000</v>
      </c>
      <c r="P18" s="33">
        <f t="shared" si="12"/>
        <v>11000</v>
      </c>
      <c r="Q18" s="33">
        <f t="shared" si="12"/>
        <v>11000</v>
      </c>
      <c r="R18" s="41"/>
      <c r="S18" s="4" t="s">
        <v>122</v>
      </c>
      <c r="T18" s="56">
        <f>-L25-121200</f>
        <v>42000</v>
      </c>
      <c r="U18" s="4"/>
      <c r="V18" s="4"/>
      <c r="W18" s="4"/>
      <c r="X18" s="4"/>
    </row>
    <row r="19" spans="10:25" x14ac:dyDescent="0.45">
      <c r="K19" s="12" t="s">
        <v>123</v>
      </c>
      <c r="L19" s="12"/>
      <c r="M19" s="37">
        <f>SUM(M17:M18)</f>
        <v>45200</v>
      </c>
      <c r="N19" s="37">
        <f t="shared" ref="N19:Q19" si="13">SUM(N17:N18)</f>
        <v>57500</v>
      </c>
      <c r="O19" s="37">
        <f t="shared" si="13"/>
        <v>57500</v>
      </c>
      <c r="P19" s="37">
        <f t="shared" si="13"/>
        <v>57500</v>
      </c>
      <c r="Q19" s="37">
        <f t="shared" si="13"/>
        <v>57500</v>
      </c>
      <c r="S19" s="4" t="s">
        <v>124</v>
      </c>
      <c r="T19" s="4"/>
      <c r="U19" s="4">
        <f>-$T$18/$V$15</f>
        <v>-10500</v>
      </c>
      <c r="V19" s="4">
        <f t="shared" ref="V19:X19" si="14">-$T$18/$V$15</f>
        <v>-10500</v>
      </c>
      <c r="W19" s="4">
        <f t="shared" si="14"/>
        <v>-10500</v>
      </c>
      <c r="X19" s="4">
        <f t="shared" si="14"/>
        <v>-10500</v>
      </c>
    </row>
    <row r="20" spans="10:25" x14ac:dyDescent="0.45">
      <c r="K20" s="4" t="s">
        <v>125</v>
      </c>
      <c r="L20" s="71">
        <f>-T9</f>
        <v>-160000</v>
      </c>
      <c r="M20" s="4"/>
      <c r="N20" s="4"/>
      <c r="O20" s="4"/>
      <c r="P20" s="4"/>
      <c r="Q20" s="4"/>
      <c r="S20" s="4" t="s">
        <v>126</v>
      </c>
      <c r="T20" s="56">
        <f>+T18</f>
        <v>42000</v>
      </c>
      <c r="U20" s="56">
        <f>T20+U19</f>
        <v>31500</v>
      </c>
      <c r="V20" s="56">
        <f t="shared" ref="V20:X20" si="15">U20+V19</f>
        <v>21000</v>
      </c>
      <c r="W20" s="56">
        <f t="shared" si="15"/>
        <v>10500</v>
      </c>
      <c r="X20" s="56">
        <f t="shared" si="15"/>
        <v>0</v>
      </c>
    </row>
    <row r="21" spans="10:25" x14ac:dyDescent="0.45">
      <c r="J21" s="40">
        <f>-L21/M8</f>
        <v>0.04</v>
      </c>
      <c r="K21" s="4" t="s">
        <v>127</v>
      </c>
      <c r="L21" s="73">
        <f>+-P2</f>
        <v>-3200</v>
      </c>
      <c r="M21" s="71">
        <f>-$J$21*(N8-M8)</f>
        <v>-800</v>
      </c>
      <c r="N21" s="71">
        <f t="shared" ref="N21:P21" si="16">-$J$21*(O8-N8)</f>
        <v>0</v>
      </c>
      <c r="O21" s="71">
        <f t="shared" si="16"/>
        <v>0</v>
      </c>
      <c r="P21" s="71">
        <f t="shared" si="16"/>
        <v>0</v>
      </c>
      <c r="Q21" s="71"/>
      <c r="R21" s="65">
        <v>0.05</v>
      </c>
      <c r="S21" s="64" t="s">
        <v>128</v>
      </c>
      <c r="T21" s="4"/>
      <c r="U21" s="4">
        <f>-T20*$R$21</f>
        <v>-2100</v>
      </c>
      <c r="V21" s="4">
        <f t="shared" ref="V21:X21" si="17">-U20*$R$21</f>
        <v>-1575</v>
      </c>
      <c r="W21" s="4">
        <f t="shared" si="17"/>
        <v>-1050</v>
      </c>
      <c r="X21" s="4">
        <f t="shared" si="17"/>
        <v>-525</v>
      </c>
    </row>
    <row r="22" spans="10:25" x14ac:dyDescent="0.45">
      <c r="K22" s="4" t="s">
        <v>129</v>
      </c>
      <c r="L22" s="56"/>
      <c r="M22" s="4"/>
      <c r="N22" s="4"/>
      <c r="O22" s="4"/>
      <c r="P22" s="4"/>
      <c r="Q22" s="56">
        <f>+AA9</f>
        <v>108500</v>
      </c>
    </row>
    <row r="23" spans="10:25" x14ac:dyDescent="0.45">
      <c r="K23" s="4" t="s">
        <v>130</v>
      </c>
      <c r="L23" s="4"/>
      <c r="M23" s="4"/>
      <c r="N23" s="4"/>
      <c r="O23" s="4"/>
      <c r="P23" s="4"/>
      <c r="Q23" s="56">
        <f>-L21-M21</f>
        <v>4000</v>
      </c>
    </row>
    <row r="24" spans="10:25" x14ac:dyDescent="0.45">
      <c r="K24" s="4" t="s">
        <v>131</v>
      </c>
      <c r="L24" s="4"/>
      <c r="M24" s="4"/>
      <c r="N24" s="4"/>
      <c r="O24" s="4"/>
      <c r="P24" s="4"/>
      <c r="Q24" s="56">
        <f>+AB11</f>
        <v>-875</v>
      </c>
      <c r="V24" s="40"/>
    </row>
    <row r="25" spans="10:25" x14ac:dyDescent="0.45">
      <c r="K25" s="58" t="s">
        <v>132</v>
      </c>
      <c r="L25" s="59">
        <f>SUM(L19:L24)</f>
        <v>-163200</v>
      </c>
      <c r="M25" s="59">
        <f t="shared" ref="M25:Q25" si="18">SUM(M19:M24)</f>
        <v>44400</v>
      </c>
      <c r="N25" s="59">
        <f t="shared" si="18"/>
        <v>57500</v>
      </c>
      <c r="O25" s="59">
        <f t="shared" si="18"/>
        <v>57500</v>
      </c>
      <c r="P25" s="59">
        <f t="shared" si="18"/>
        <v>57500</v>
      </c>
      <c r="Q25" s="59">
        <f t="shared" si="18"/>
        <v>169125</v>
      </c>
    </row>
    <row r="26" spans="10:25" x14ac:dyDescent="0.45">
      <c r="K26" s="4" t="s">
        <v>133</v>
      </c>
      <c r="L26" s="56">
        <f>+T18</f>
        <v>42000</v>
      </c>
      <c r="M26" s="4"/>
      <c r="N26" s="4"/>
      <c r="O26" s="4"/>
      <c r="P26" s="4"/>
      <c r="Q26" s="4"/>
      <c r="V26" s="40"/>
      <c r="X26" s="40"/>
      <c r="Y26" s="36"/>
    </row>
    <row r="27" spans="10:25" x14ac:dyDescent="0.45">
      <c r="K27" s="4" t="s">
        <v>134</v>
      </c>
      <c r="L27" s="4"/>
      <c r="M27" s="56">
        <f>+U19</f>
        <v>-10500</v>
      </c>
      <c r="N27" s="56">
        <f t="shared" ref="N27:P27" si="19">+V19</f>
        <v>-10500</v>
      </c>
      <c r="O27" s="56">
        <f t="shared" si="19"/>
        <v>-10500</v>
      </c>
      <c r="P27" s="56">
        <f t="shared" si="19"/>
        <v>-10500</v>
      </c>
      <c r="Q27" s="56">
        <f>+X19</f>
        <v>-10500</v>
      </c>
      <c r="V27" s="40"/>
      <c r="X27" s="40"/>
      <c r="Y27" s="36"/>
    </row>
    <row r="28" spans="10:25" x14ac:dyDescent="0.45">
      <c r="K28" s="4" t="s">
        <v>135</v>
      </c>
      <c r="L28" s="4"/>
      <c r="M28" s="56">
        <f>+U21</f>
        <v>-2100</v>
      </c>
      <c r="N28" s="56">
        <f t="shared" ref="N28:P28" si="20">+V21</f>
        <v>-1575</v>
      </c>
      <c r="O28" s="56">
        <f t="shared" si="20"/>
        <v>-1050</v>
      </c>
      <c r="P28" s="56">
        <f t="shared" si="20"/>
        <v>-525</v>
      </c>
      <c r="Q28" s="56">
        <f>+X21</f>
        <v>-525</v>
      </c>
      <c r="V28" s="40"/>
      <c r="X28" s="40"/>
      <c r="Y28" s="36"/>
    </row>
    <row r="29" spans="10:25" x14ac:dyDescent="0.45">
      <c r="K29" s="4" t="s">
        <v>136</v>
      </c>
      <c r="L29" s="4"/>
      <c r="M29" s="56">
        <f>M28*-0.25</f>
        <v>525</v>
      </c>
      <c r="N29" s="56">
        <f t="shared" ref="N29:P29" si="21">N28*-0.25</f>
        <v>393.75</v>
      </c>
      <c r="O29" s="56">
        <f t="shared" si="21"/>
        <v>262.5</v>
      </c>
      <c r="P29" s="56">
        <f t="shared" si="21"/>
        <v>131.25</v>
      </c>
      <c r="Q29" s="56">
        <f>Q28*-M2</f>
        <v>131.25</v>
      </c>
      <c r="S29" s="43"/>
      <c r="V29" s="40"/>
      <c r="X29" s="40"/>
      <c r="Y29" s="36"/>
    </row>
    <row r="30" spans="10:25" x14ac:dyDescent="0.45">
      <c r="K30" s="58" t="s">
        <v>137</v>
      </c>
      <c r="L30" s="59">
        <f>SUM(L25:L29)</f>
        <v>-121200</v>
      </c>
      <c r="M30" s="59">
        <f t="shared" ref="M30:Q30" si="22">SUM(M25:M29)</f>
        <v>32325</v>
      </c>
      <c r="N30" s="59">
        <f t="shared" si="22"/>
        <v>45818.75</v>
      </c>
      <c r="O30" s="59">
        <f t="shared" si="22"/>
        <v>46212.5</v>
      </c>
      <c r="P30" s="59">
        <f t="shared" si="22"/>
        <v>46606.25</v>
      </c>
      <c r="Q30" s="59">
        <f t="shared" si="22"/>
        <v>158231.25</v>
      </c>
    </row>
    <row r="31" spans="10:25" ht="14.65" thickBot="1" x14ac:dyDescent="0.5"/>
    <row r="32" spans="10:25" ht="14.65" thickBot="1" x14ac:dyDescent="0.5">
      <c r="K32" s="46"/>
      <c r="L32" s="47"/>
      <c r="M32" s="47"/>
      <c r="N32" s="47"/>
      <c r="O32" s="47"/>
      <c r="P32" s="47"/>
      <c r="Q32" s="47"/>
      <c r="R32" s="48" t="s">
        <v>138</v>
      </c>
      <c r="S32" s="49">
        <f>NPV(0.04,M30:Q30)+L30</f>
        <v>163220.25631911238</v>
      </c>
      <c r="T32" s="50" t="s">
        <v>139</v>
      </c>
      <c r="U32" s="50" t="s">
        <v>140</v>
      </c>
      <c r="W32" s="50" t="s">
        <v>138</v>
      </c>
      <c r="X32" s="51">
        <f>NPV(0.08,M30:Q30)+L30</f>
        <v>126644.23613894419</v>
      </c>
      <c r="Y32" s="50" t="s">
        <v>141</v>
      </c>
    </row>
    <row r="33" spans="3:25" x14ac:dyDescent="0.45">
      <c r="R33" s="48"/>
      <c r="S33" s="49"/>
      <c r="T33" s="50"/>
      <c r="U33" s="50"/>
      <c r="W33" s="50"/>
      <c r="X33" s="50"/>
      <c r="Y33" s="50"/>
    </row>
    <row r="34" spans="3:25" x14ac:dyDescent="0.45">
      <c r="R34" s="48" t="s">
        <v>87</v>
      </c>
      <c r="S34" s="72">
        <f>IRR(L30:Q30)</f>
        <v>0.33547011787785852</v>
      </c>
      <c r="T34" s="50" t="s">
        <v>142</v>
      </c>
      <c r="U34" s="50" t="s">
        <v>140</v>
      </c>
      <c r="W34" s="50" t="s">
        <v>143</v>
      </c>
      <c r="X34" s="51">
        <f>+S34</f>
        <v>0.33547011787785852</v>
      </c>
      <c r="Y34" s="50" t="s">
        <v>144</v>
      </c>
    </row>
    <row r="35" spans="3:25" x14ac:dyDescent="0.45">
      <c r="K35" s="92" t="s">
        <v>145</v>
      </c>
      <c r="L35" s="92"/>
      <c r="R35" s="14"/>
      <c r="S35" s="52"/>
      <c r="W35" s="50"/>
      <c r="X35" s="50"/>
      <c r="Y35" s="50"/>
    </row>
    <row r="40" spans="3:25" ht="14.65" thickBot="1" x14ac:dyDescent="0.5">
      <c r="C40" t="s">
        <v>146</v>
      </c>
    </row>
    <row r="41" spans="3:25" ht="14.65" thickBot="1" x14ac:dyDescent="0.5">
      <c r="C41" s="44" t="s">
        <v>132</v>
      </c>
      <c r="D41" s="45">
        <f>+L25</f>
        <v>-163200</v>
      </c>
      <c r="E41" s="45">
        <f t="shared" ref="E41:I41" si="23">+M25</f>
        <v>44400</v>
      </c>
      <c r="F41" s="45">
        <f t="shared" si="23"/>
        <v>57500</v>
      </c>
      <c r="G41" s="45">
        <f t="shared" si="23"/>
        <v>57500</v>
      </c>
      <c r="H41" s="45">
        <f t="shared" si="23"/>
        <v>57500</v>
      </c>
      <c r="I41" s="45">
        <f t="shared" si="23"/>
        <v>169125</v>
      </c>
      <c r="K41" s="42"/>
    </row>
    <row r="42" spans="3:25" ht="14.65" thickBot="1" x14ac:dyDescent="0.5">
      <c r="C42" t="s">
        <v>147</v>
      </c>
      <c r="D42" s="65">
        <v>1</v>
      </c>
      <c r="E42" s="65">
        <f>D42*1.08</f>
        <v>1.08</v>
      </c>
      <c r="F42">
        <f t="shared" ref="F42:I42" si="24">E42*1.08</f>
        <v>1.1664000000000001</v>
      </c>
      <c r="G42">
        <f t="shared" si="24"/>
        <v>1.2597120000000002</v>
      </c>
      <c r="H42">
        <f t="shared" si="24"/>
        <v>1.3604889600000003</v>
      </c>
      <c r="I42">
        <f t="shared" si="24"/>
        <v>1.4693280768000003</v>
      </c>
      <c r="J42" s="14"/>
      <c r="K42" s="53"/>
    </row>
    <row r="43" spans="3:25" ht="14.65" thickBot="1" x14ac:dyDescent="0.5">
      <c r="C43" s="44" t="s">
        <v>148</v>
      </c>
      <c r="D43" s="45">
        <f>D41/D42</f>
        <v>-163200</v>
      </c>
      <c r="E43" s="45">
        <f t="shared" ref="E43:I43" si="25">E41/E42</f>
        <v>41111.111111111109</v>
      </c>
      <c r="F43" s="45">
        <f t="shared" si="25"/>
        <v>49296.982167352537</v>
      </c>
      <c r="G43" s="45">
        <f t="shared" si="25"/>
        <v>45645.35385865975</v>
      </c>
      <c r="H43" s="45">
        <f t="shared" si="25"/>
        <v>42264.216535796062</v>
      </c>
      <c r="I43" s="45">
        <f t="shared" si="25"/>
        <v>115103.63319833348</v>
      </c>
    </row>
    <row r="44" spans="3:25" x14ac:dyDescent="0.45">
      <c r="C44" t="s">
        <v>149</v>
      </c>
      <c r="D44" s="73">
        <f>+D43</f>
        <v>-163200</v>
      </c>
      <c r="E44" s="73">
        <f>D44+E43</f>
        <v>-122088.88888888889</v>
      </c>
      <c r="F44" s="73">
        <f t="shared" ref="F44:I44" si="26">E44+F43</f>
        <v>-72791.906721536361</v>
      </c>
      <c r="G44" s="73">
        <f t="shared" si="26"/>
        <v>-27146.552862876611</v>
      </c>
      <c r="H44" s="40">
        <f t="shared" si="26"/>
        <v>15117.663672919451</v>
      </c>
      <c r="I44" s="40">
        <f t="shared" si="26"/>
        <v>130221.29687125294</v>
      </c>
    </row>
    <row r="45" spans="3:25" x14ac:dyDescent="0.45">
      <c r="L45" s="50" t="s">
        <v>151</v>
      </c>
    </row>
    <row r="46" spans="3:25" x14ac:dyDescent="0.45">
      <c r="C46" s="92" t="s">
        <v>150</v>
      </c>
      <c r="D46" s="92"/>
      <c r="E46" s="92"/>
      <c r="F46" s="92"/>
      <c r="L46" s="54" t="s">
        <v>152</v>
      </c>
      <c r="M46" s="4" t="s">
        <v>153</v>
      </c>
      <c r="N46" s="4"/>
    </row>
    <row r="47" spans="3:25" x14ac:dyDescent="0.45">
      <c r="L47" s="54"/>
      <c r="M47" s="4" t="s">
        <v>154</v>
      </c>
      <c r="N47" s="33">
        <f>O12</f>
        <v>-9000</v>
      </c>
    </row>
    <row r="48" spans="3:25" x14ac:dyDescent="0.45">
      <c r="L48" s="54"/>
      <c r="M48" s="4" t="s">
        <v>155</v>
      </c>
      <c r="N48" s="33">
        <f>+O9+O10+O11</f>
        <v>-18000</v>
      </c>
    </row>
    <row r="49" spans="12:16" x14ac:dyDescent="0.45">
      <c r="L49" s="54"/>
      <c r="M49" s="4" t="s">
        <v>156</v>
      </c>
      <c r="N49" s="4">
        <f>+O6</f>
        <v>40</v>
      </c>
    </row>
    <row r="50" spans="12:16" x14ac:dyDescent="0.45">
      <c r="L50" s="54"/>
      <c r="M50" s="6" t="s">
        <v>157</v>
      </c>
      <c r="N50" s="75">
        <f>-(N47+N48)/N49</f>
        <v>675</v>
      </c>
    </row>
    <row r="51" spans="12:16" x14ac:dyDescent="0.45">
      <c r="L51" s="54"/>
    </row>
    <row r="52" spans="12:16" x14ac:dyDescent="0.45">
      <c r="L52" s="54" t="s">
        <v>158</v>
      </c>
      <c r="M52" s="4" t="s">
        <v>159</v>
      </c>
      <c r="N52" s="4"/>
    </row>
    <row r="53" spans="12:16" x14ac:dyDescent="0.45">
      <c r="L53" s="54"/>
      <c r="M53" s="4" t="s">
        <v>154</v>
      </c>
      <c r="N53" s="33">
        <f>+N47</f>
        <v>-9000</v>
      </c>
    </row>
    <row r="54" spans="12:16" x14ac:dyDescent="0.45">
      <c r="L54" s="54"/>
      <c r="M54" s="4" t="s">
        <v>155</v>
      </c>
      <c r="N54" s="33">
        <f>+N48</f>
        <v>-18000</v>
      </c>
    </row>
    <row r="55" spans="12:16" x14ac:dyDescent="0.45">
      <c r="L55" s="54"/>
      <c r="M55" s="4" t="s">
        <v>160</v>
      </c>
      <c r="N55" s="33">
        <f>+O14</f>
        <v>-11000</v>
      </c>
    </row>
    <row r="56" spans="12:16" x14ac:dyDescent="0.45">
      <c r="L56" s="54"/>
      <c r="M56" s="4" t="s">
        <v>156</v>
      </c>
      <c r="N56" s="4">
        <f>+N49</f>
        <v>40</v>
      </c>
    </row>
    <row r="57" spans="12:16" x14ac:dyDescent="0.45">
      <c r="L57" s="54"/>
      <c r="M57" s="6" t="s">
        <v>157</v>
      </c>
      <c r="N57" s="75">
        <f>-(N53+N54+N55)/N56</f>
        <v>950</v>
      </c>
    </row>
    <row r="58" spans="12:16" x14ac:dyDescent="0.45">
      <c r="L58" s="54"/>
    </row>
    <row r="59" spans="12:16" x14ac:dyDescent="0.45">
      <c r="L59" s="74" t="s">
        <v>158</v>
      </c>
      <c r="M59" s="18" t="s">
        <v>161</v>
      </c>
      <c r="N59" s="18"/>
      <c r="O59" s="35"/>
      <c r="P59" s="35"/>
    </row>
    <row r="60" spans="12:16" x14ac:dyDescent="0.45">
      <c r="L60" s="54"/>
      <c r="M60" s="4" t="s">
        <v>154</v>
      </c>
      <c r="N60" s="33">
        <f>+N47</f>
        <v>-9000</v>
      </c>
    </row>
    <row r="61" spans="12:16" x14ac:dyDescent="0.45">
      <c r="L61" s="54"/>
      <c r="M61" s="4" t="s">
        <v>155</v>
      </c>
      <c r="N61" s="33">
        <f>+N48</f>
        <v>-18000</v>
      </c>
    </row>
    <row r="62" spans="12:16" x14ac:dyDescent="0.45">
      <c r="L62" s="54"/>
      <c r="M62" s="4" t="s">
        <v>160</v>
      </c>
      <c r="N62" s="33">
        <f>+N55</f>
        <v>-11000</v>
      </c>
    </row>
    <row r="63" spans="12:16" x14ac:dyDescent="0.45">
      <c r="L63" s="54"/>
      <c r="M63" s="4" t="s">
        <v>135</v>
      </c>
      <c r="N63" s="33">
        <f>+O28</f>
        <v>-1050</v>
      </c>
    </row>
    <row r="64" spans="12:16" x14ac:dyDescent="0.45">
      <c r="L64" s="54"/>
      <c r="M64" s="4" t="s">
        <v>156</v>
      </c>
      <c r="N64" s="4">
        <f>+N56</f>
        <v>40</v>
      </c>
    </row>
    <row r="65" spans="2:14" x14ac:dyDescent="0.45">
      <c r="L65" s="54"/>
      <c r="M65" s="6" t="s">
        <v>157</v>
      </c>
      <c r="N65" s="75">
        <f>-(N60+N61+N62+N63)/N64</f>
        <v>976.25</v>
      </c>
    </row>
    <row r="69" spans="2:14" x14ac:dyDescent="0.45">
      <c r="B69" s="54"/>
    </row>
  </sheetData>
  <mergeCells count="3">
    <mergeCell ref="T15:U15"/>
    <mergeCell ref="K35:L35"/>
    <mergeCell ref="C46:F46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3F9C-A287-41E5-9312-4B68E0901318}">
  <dimension ref="J1:AA24"/>
  <sheetViews>
    <sheetView zoomScale="67" workbookViewId="0">
      <selection activeCell="L30" sqref="L30"/>
    </sheetView>
  </sheetViews>
  <sheetFormatPr baseColWidth="10" defaultRowHeight="14.25" x14ac:dyDescent="0.45"/>
  <cols>
    <col min="11" max="11" width="16.86328125" bestFit="1" customWidth="1"/>
    <col min="17" max="17" width="14.1328125" customWidth="1"/>
  </cols>
  <sheetData>
    <row r="1" spans="10:27" x14ac:dyDescent="0.45">
      <c r="J1" s="92" t="s">
        <v>168</v>
      </c>
      <c r="K1" s="92"/>
      <c r="L1" s="92"/>
      <c r="M1" s="92"/>
      <c r="N1" s="92"/>
      <c r="O1" s="92"/>
      <c r="P1" s="92"/>
      <c r="Q1" s="92"/>
      <c r="R1" s="92"/>
      <c r="S1" s="92"/>
      <c r="T1" s="92"/>
    </row>
    <row r="3" spans="10:27" x14ac:dyDescent="0.45">
      <c r="L3" s="86" t="s">
        <v>170</v>
      </c>
      <c r="M3" s="86"/>
      <c r="N3" s="86"/>
      <c r="O3" s="86"/>
    </row>
    <row r="4" spans="10:27" x14ac:dyDescent="0.45">
      <c r="K4" s="7" t="s">
        <v>171</v>
      </c>
      <c r="L4" s="7">
        <v>240000</v>
      </c>
      <c r="M4" s="7"/>
      <c r="N4" s="7" t="s">
        <v>173</v>
      </c>
      <c r="O4" s="11">
        <v>0.25</v>
      </c>
      <c r="P4" s="7"/>
      <c r="Q4" s="7" t="s">
        <v>187</v>
      </c>
      <c r="R4" s="11">
        <v>0.1</v>
      </c>
      <c r="S4" t="s">
        <v>188</v>
      </c>
    </row>
    <row r="5" spans="10:27" x14ac:dyDescent="0.45">
      <c r="K5" s="7" t="s">
        <v>172</v>
      </c>
      <c r="L5" s="11">
        <v>0.1</v>
      </c>
      <c r="M5" s="7"/>
      <c r="N5" s="7" t="s">
        <v>176</v>
      </c>
      <c r="O5" s="7">
        <v>2000</v>
      </c>
      <c r="P5" s="7"/>
      <c r="Q5" s="7" t="s">
        <v>191</v>
      </c>
      <c r="R5" s="7">
        <v>12000</v>
      </c>
      <c r="S5" t="s">
        <v>192</v>
      </c>
    </row>
    <row r="6" spans="10:27" x14ac:dyDescent="0.45">
      <c r="K6" s="7"/>
      <c r="L6" s="7"/>
      <c r="M6" s="7"/>
      <c r="N6" s="7" t="s">
        <v>70</v>
      </c>
      <c r="O6" s="11">
        <v>0.25</v>
      </c>
      <c r="P6" s="7"/>
      <c r="Q6" s="7"/>
      <c r="R6" s="7"/>
    </row>
    <row r="8" spans="10:27" x14ac:dyDescent="0.45">
      <c r="K8" s="4" t="s">
        <v>169</v>
      </c>
      <c r="L8" s="4">
        <v>0</v>
      </c>
      <c r="M8" s="4">
        <v>1</v>
      </c>
      <c r="N8" s="4">
        <v>2</v>
      </c>
      <c r="O8" s="4">
        <v>3</v>
      </c>
      <c r="P8" s="4">
        <v>4</v>
      </c>
      <c r="Q8" s="4">
        <v>5</v>
      </c>
    </row>
    <row r="9" spans="10:27" x14ac:dyDescent="0.45">
      <c r="K9" s="6" t="s">
        <v>116</v>
      </c>
      <c r="L9" s="6"/>
      <c r="M9" s="6">
        <f>+L4</f>
        <v>240000</v>
      </c>
      <c r="N9" s="6">
        <f>+M9*(1+$L$5)</f>
        <v>264000</v>
      </c>
      <c r="O9" s="6">
        <f t="shared" ref="O9:Q9" si="0">+N9*(1+$L$5)</f>
        <v>290400</v>
      </c>
      <c r="P9" s="6">
        <f t="shared" si="0"/>
        <v>319440</v>
      </c>
      <c r="Q9" s="6">
        <f t="shared" si="0"/>
        <v>351384</v>
      </c>
      <c r="S9" s="93" t="s">
        <v>60</v>
      </c>
      <c r="T9" s="93"/>
      <c r="U9" s="93"/>
      <c r="V9" s="93"/>
      <c r="W9" s="93"/>
      <c r="X9" s="93"/>
      <c r="Y9" s="93"/>
      <c r="Z9" s="93"/>
    </row>
    <row r="10" spans="10:27" x14ac:dyDescent="0.45">
      <c r="K10" s="4" t="s">
        <v>174</v>
      </c>
      <c r="L10" s="4"/>
      <c r="M10" s="5">
        <f>+-M9*$O$4</f>
        <v>-60000</v>
      </c>
      <c r="N10" s="5">
        <f t="shared" ref="N10:Q10" si="1">+-N9*$O$4</f>
        <v>-66000</v>
      </c>
      <c r="O10" s="5">
        <f t="shared" si="1"/>
        <v>-72600</v>
      </c>
      <c r="P10" s="5">
        <f t="shared" si="1"/>
        <v>-79860</v>
      </c>
      <c r="Q10" s="5">
        <f t="shared" si="1"/>
        <v>-87846</v>
      </c>
      <c r="S10" s="4" t="s">
        <v>183</v>
      </c>
      <c r="T10" s="4" t="s">
        <v>177</v>
      </c>
      <c r="U10" s="4">
        <v>0</v>
      </c>
      <c r="V10" s="4">
        <v>1</v>
      </c>
      <c r="W10" s="4">
        <v>2</v>
      </c>
      <c r="X10" s="4">
        <v>3</v>
      </c>
      <c r="Y10" s="4">
        <v>4</v>
      </c>
      <c r="Z10" s="4">
        <v>5</v>
      </c>
      <c r="AA10" s="4" t="s">
        <v>178</v>
      </c>
    </row>
    <row r="11" spans="10:27" x14ac:dyDescent="0.45">
      <c r="K11" s="4" t="s">
        <v>175</v>
      </c>
      <c r="L11" s="4"/>
      <c r="M11" s="5">
        <f>+-$O$5*12</f>
        <v>-24000</v>
      </c>
      <c r="N11" s="5">
        <f t="shared" ref="N11:Q11" si="2">+-$O$5*12</f>
        <v>-24000</v>
      </c>
      <c r="O11" s="5">
        <f t="shared" si="2"/>
        <v>-24000</v>
      </c>
      <c r="P11" s="5">
        <f t="shared" si="2"/>
        <v>-24000</v>
      </c>
      <c r="Q11" s="5">
        <f t="shared" si="2"/>
        <v>-24000</v>
      </c>
      <c r="S11" s="11">
        <v>0.1</v>
      </c>
      <c r="T11" s="4" t="s">
        <v>182</v>
      </c>
      <c r="U11" s="7">
        <v>400000</v>
      </c>
      <c r="V11" s="5">
        <f>+-$U$11*$S$11</f>
        <v>-40000</v>
      </c>
      <c r="W11" s="5">
        <f>+-$U$11*$S$11</f>
        <v>-40000</v>
      </c>
      <c r="X11" s="5">
        <f>+-$U$11*$S$11</f>
        <v>-40000</v>
      </c>
      <c r="Y11" s="5">
        <f>+-$U$11*$S$11</f>
        <v>-40000</v>
      </c>
      <c r="Z11" s="5">
        <f>+-$U$11*$S$11</f>
        <v>-40000</v>
      </c>
      <c r="AA11" s="4">
        <f>+SUM(U11:Z11)</f>
        <v>200000</v>
      </c>
    </row>
    <row r="12" spans="10:27" x14ac:dyDescent="0.45">
      <c r="K12" s="6" t="s">
        <v>26</v>
      </c>
      <c r="L12" s="6"/>
      <c r="M12" s="6">
        <f>+SUM(M9:M11)</f>
        <v>156000</v>
      </c>
      <c r="N12" s="6">
        <f t="shared" ref="N12:Q12" si="3">+SUM(N9:N11)</f>
        <v>174000</v>
      </c>
      <c r="O12" s="6">
        <f t="shared" si="3"/>
        <v>193800</v>
      </c>
      <c r="P12" s="6">
        <f t="shared" si="3"/>
        <v>215580</v>
      </c>
      <c r="Q12" s="6">
        <f t="shared" si="3"/>
        <v>239538</v>
      </c>
      <c r="S12" s="7">
        <v>5</v>
      </c>
      <c r="T12" s="4" t="s">
        <v>179</v>
      </c>
      <c r="U12" s="7">
        <v>100000</v>
      </c>
      <c r="V12" s="5">
        <f>+-$U$12/$S$12</f>
        <v>-20000</v>
      </c>
      <c r="W12" s="5">
        <f>+-$U$12/$S$12</f>
        <v>-20000</v>
      </c>
      <c r="X12" s="5">
        <f>+-$U$12/$S$12</f>
        <v>-20000</v>
      </c>
      <c r="Y12" s="5">
        <f>+-$U$12/$S$12</f>
        <v>-20000</v>
      </c>
      <c r="Z12" s="5">
        <f>+-$U$12/$S$12</f>
        <v>-20000</v>
      </c>
      <c r="AA12" s="4">
        <f t="shared" ref="AA12:AA14" si="4">+SUM(U12:Z12)</f>
        <v>0</v>
      </c>
    </row>
    <row r="13" spans="10:27" x14ac:dyDescent="0.45">
      <c r="K13" s="4" t="s">
        <v>27</v>
      </c>
      <c r="L13" s="4"/>
      <c r="M13" s="5">
        <f>+V15</f>
        <v>-80000</v>
      </c>
      <c r="N13" s="5">
        <f>+W15</f>
        <v>-80000</v>
      </c>
      <c r="O13" s="5">
        <f>+X15</f>
        <v>-80000</v>
      </c>
      <c r="P13" s="5">
        <f>+Y15</f>
        <v>-80000</v>
      </c>
      <c r="Q13" s="5">
        <f>+Z15</f>
        <v>-80000</v>
      </c>
      <c r="S13" s="7">
        <v>4</v>
      </c>
      <c r="T13" s="4" t="s">
        <v>180</v>
      </c>
      <c r="U13" s="7">
        <v>80000</v>
      </c>
      <c r="V13" s="5">
        <f>-$U$13/$S$13</f>
        <v>-20000</v>
      </c>
      <c r="W13" s="5">
        <f>-$U$13/$S$13</f>
        <v>-20000</v>
      </c>
      <c r="X13" s="5">
        <f>-$U$13/$S$13</f>
        <v>-20000</v>
      </c>
      <c r="Y13" s="5">
        <f>-$U$13/$S$13</f>
        <v>-20000</v>
      </c>
      <c r="Z13" s="5"/>
      <c r="AA13" s="4">
        <f t="shared" si="4"/>
        <v>0</v>
      </c>
    </row>
    <row r="14" spans="10:27" x14ac:dyDescent="0.45">
      <c r="K14" s="6" t="s">
        <v>184</v>
      </c>
      <c r="L14" s="6"/>
      <c r="M14" s="6">
        <f>+SUM(M12:M13)</f>
        <v>76000</v>
      </c>
      <c r="N14" s="6">
        <f t="shared" ref="N14:Q14" si="5">+SUM(N12:N13)</f>
        <v>94000</v>
      </c>
      <c r="O14" s="6">
        <f t="shared" si="5"/>
        <v>113800</v>
      </c>
      <c r="P14" s="6">
        <f t="shared" si="5"/>
        <v>135580</v>
      </c>
      <c r="Q14" s="6">
        <f t="shared" si="5"/>
        <v>159538</v>
      </c>
      <c r="S14" s="4"/>
      <c r="T14" s="4" t="s">
        <v>181</v>
      </c>
      <c r="U14" s="4"/>
      <c r="V14" s="4"/>
      <c r="W14" s="4"/>
      <c r="X14" s="4"/>
      <c r="Y14" s="4">
        <f>+U13</f>
        <v>80000</v>
      </c>
      <c r="Z14" s="5">
        <f>+-Y14/S13</f>
        <v>-20000</v>
      </c>
      <c r="AA14" s="4">
        <f t="shared" si="4"/>
        <v>60000</v>
      </c>
    </row>
    <row r="15" spans="10:27" x14ac:dyDescent="0.45">
      <c r="K15" s="4" t="s">
        <v>70</v>
      </c>
      <c r="L15" s="4"/>
      <c r="M15" s="4">
        <f>+-M14*$O$6</f>
        <v>-19000</v>
      </c>
      <c r="N15" s="4">
        <f t="shared" ref="N15:Q15" si="6">+-N14*$O$6</f>
        <v>-23500</v>
      </c>
      <c r="O15" s="4">
        <f t="shared" si="6"/>
        <v>-28450</v>
      </c>
      <c r="P15" s="4">
        <f t="shared" si="6"/>
        <v>-33895</v>
      </c>
      <c r="Q15" s="4">
        <f t="shared" si="6"/>
        <v>-39884.5</v>
      </c>
      <c r="S15" s="4"/>
      <c r="T15" s="12" t="s">
        <v>27</v>
      </c>
      <c r="U15" s="12">
        <f>+SUM(U11:U14)</f>
        <v>580000</v>
      </c>
      <c r="V15" s="13">
        <f t="shared" ref="V15:AA15" si="7">+SUM(V11:V14)</f>
        <v>-80000</v>
      </c>
      <c r="W15" s="13">
        <f t="shared" si="7"/>
        <v>-80000</v>
      </c>
      <c r="X15" s="13">
        <f t="shared" si="7"/>
        <v>-80000</v>
      </c>
      <c r="Y15" s="13">
        <f>+SUM(Y11:Y13)</f>
        <v>-80000</v>
      </c>
      <c r="Z15" s="13">
        <f>+SUM(Z11:Z14)</f>
        <v>-80000</v>
      </c>
      <c r="AA15" s="12">
        <f t="shared" si="7"/>
        <v>260000</v>
      </c>
    </row>
    <row r="16" spans="10:27" x14ac:dyDescent="0.45">
      <c r="K16" s="6" t="s">
        <v>185</v>
      </c>
      <c r="L16" s="6"/>
      <c r="M16" s="6">
        <f>+SUM(M14:M15)</f>
        <v>57000</v>
      </c>
      <c r="N16" s="6">
        <f t="shared" ref="N16:Q16" si="8">+SUM(N14:N15)</f>
        <v>70500</v>
      </c>
      <c r="O16" s="6">
        <f t="shared" si="8"/>
        <v>85350</v>
      </c>
      <c r="P16" s="6">
        <f t="shared" si="8"/>
        <v>101685</v>
      </c>
      <c r="Q16" s="6">
        <f t="shared" si="8"/>
        <v>119653.5</v>
      </c>
    </row>
    <row r="17" spans="11:17" x14ac:dyDescent="0.45">
      <c r="K17" s="4" t="s">
        <v>27</v>
      </c>
      <c r="L17" s="4"/>
      <c r="M17" s="4">
        <f>+-M13</f>
        <v>80000</v>
      </c>
      <c r="N17" s="4">
        <f t="shared" ref="N17:Q17" si="9">+-N13</f>
        <v>80000</v>
      </c>
      <c r="O17" s="4">
        <f t="shared" si="9"/>
        <v>80000</v>
      </c>
      <c r="P17" s="4">
        <f t="shared" si="9"/>
        <v>80000</v>
      </c>
      <c r="Q17" s="4">
        <f t="shared" si="9"/>
        <v>80000</v>
      </c>
    </row>
    <row r="18" spans="11:17" x14ac:dyDescent="0.45">
      <c r="K18" s="6" t="s">
        <v>186</v>
      </c>
      <c r="L18" s="6"/>
      <c r="M18" s="6">
        <f>+SUM(M16:M17)</f>
        <v>137000</v>
      </c>
      <c r="N18" s="6">
        <f t="shared" ref="N18:Q18" si="10">+SUM(N16:N17)</f>
        <v>150500</v>
      </c>
      <c r="O18" s="6">
        <f t="shared" si="10"/>
        <v>165350</v>
      </c>
      <c r="P18" s="6">
        <f t="shared" si="10"/>
        <v>181685</v>
      </c>
      <c r="Q18" s="6">
        <f t="shared" si="10"/>
        <v>199653.5</v>
      </c>
    </row>
    <row r="19" spans="11:17" x14ac:dyDescent="0.45">
      <c r="K19" s="4" t="s">
        <v>61</v>
      </c>
      <c r="L19" s="5">
        <f>+-U15</f>
        <v>-580000</v>
      </c>
      <c r="M19" s="5"/>
      <c r="N19" s="5"/>
      <c r="O19" s="5"/>
      <c r="P19" s="5">
        <f>+-Y14</f>
        <v>-80000</v>
      </c>
      <c r="Q19" s="4"/>
    </row>
    <row r="20" spans="11:17" x14ac:dyDescent="0.45">
      <c r="K20" s="9" t="s">
        <v>189</v>
      </c>
      <c r="L20" s="76">
        <f>+SUM(M10:M11,M13)*R4</f>
        <v>-16400</v>
      </c>
      <c r="M20" s="5"/>
      <c r="N20" s="5"/>
      <c r="O20" s="5"/>
      <c r="P20" s="5"/>
      <c r="Q20" s="31">
        <f>+-L20</f>
        <v>16400</v>
      </c>
    </row>
    <row r="21" spans="11:17" x14ac:dyDescent="0.45">
      <c r="K21" s="4" t="s">
        <v>190</v>
      </c>
      <c r="L21" s="4"/>
      <c r="M21" s="4"/>
      <c r="N21" s="4"/>
      <c r="O21" s="4"/>
      <c r="P21" s="4">
        <f>+R5</f>
        <v>12000</v>
      </c>
      <c r="Q21" s="4">
        <f>+AA15</f>
        <v>260000</v>
      </c>
    </row>
    <row r="22" spans="11:17" x14ac:dyDescent="0.45">
      <c r="K22" s="4" t="s">
        <v>193</v>
      </c>
      <c r="L22" s="4"/>
      <c r="M22" s="4"/>
      <c r="N22" s="4"/>
      <c r="O22" s="4"/>
      <c r="P22" s="5">
        <f>+-P21*O4</f>
        <v>-3000</v>
      </c>
      <c r="Q22" s="4"/>
    </row>
    <row r="23" spans="11:17" x14ac:dyDescent="0.45">
      <c r="K23" s="6" t="s">
        <v>194</v>
      </c>
      <c r="L23" s="79">
        <f>+SUM(L18:L22)</f>
        <v>-596400</v>
      </c>
      <c r="M23" s="6">
        <f t="shared" ref="M23:Q23" si="11">+SUM(M18:M22)</f>
        <v>137000</v>
      </c>
      <c r="N23" s="6">
        <f t="shared" si="11"/>
        <v>150500</v>
      </c>
      <c r="O23" s="6">
        <f t="shared" si="11"/>
        <v>165350</v>
      </c>
      <c r="P23" s="6">
        <f t="shared" si="11"/>
        <v>110685</v>
      </c>
      <c r="Q23" s="29">
        <f t="shared" si="11"/>
        <v>476053.5</v>
      </c>
    </row>
    <row r="24" spans="11:17" x14ac:dyDescent="0.45">
      <c r="K24" s="4"/>
      <c r="L24" s="4"/>
      <c r="M24" s="4"/>
      <c r="N24" s="4"/>
      <c r="O24" s="4"/>
      <c r="P24" s="4"/>
      <c r="Q24" s="4"/>
    </row>
  </sheetData>
  <mergeCells count="3">
    <mergeCell ref="L3:O3"/>
    <mergeCell ref="S9:Z9"/>
    <mergeCell ref="J1:T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05E18-98D4-416F-BF77-A82ED6220AA9}">
  <dimension ref="H2:AB63"/>
  <sheetViews>
    <sheetView zoomScale="54" zoomScaleNormal="110" workbookViewId="0">
      <selection activeCell="R18" sqref="R18"/>
    </sheetView>
  </sheetViews>
  <sheetFormatPr baseColWidth="10" defaultRowHeight="14.25" x14ac:dyDescent="0.45"/>
  <cols>
    <col min="9" max="9" width="18.1328125" bestFit="1" customWidth="1"/>
    <col min="17" max="17" width="15.86328125" customWidth="1"/>
    <col min="26" max="26" width="16" customWidth="1"/>
  </cols>
  <sheetData>
    <row r="2" spans="8:28" x14ac:dyDescent="0.45">
      <c r="J2" s="7"/>
      <c r="K2" s="7"/>
      <c r="L2" s="7"/>
      <c r="M2" s="7"/>
      <c r="N2" s="7"/>
      <c r="O2" s="7" t="s">
        <v>70</v>
      </c>
      <c r="P2" s="11">
        <v>0.25</v>
      </c>
    </row>
    <row r="3" spans="8:28" x14ac:dyDescent="0.45">
      <c r="J3" s="7" t="s">
        <v>197</v>
      </c>
      <c r="K3" s="7">
        <v>45</v>
      </c>
      <c r="L3" s="7"/>
      <c r="M3" s="7" t="s">
        <v>198</v>
      </c>
      <c r="N3" s="11"/>
      <c r="O3" s="7" t="s">
        <v>199</v>
      </c>
      <c r="P3" s="7">
        <v>500000</v>
      </c>
      <c r="S3" s="86" t="s">
        <v>200</v>
      </c>
      <c r="T3" s="86"/>
      <c r="U3" s="86"/>
      <c r="V3" s="86"/>
      <c r="W3" s="86"/>
      <c r="X3" s="86"/>
      <c r="Y3" s="86"/>
    </row>
    <row r="4" spans="8:28" x14ac:dyDescent="0.45">
      <c r="J4" s="7" t="s">
        <v>195</v>
      </c>
      <c r="K4" s="7">
        <f>12+0.5+3+0.1</f>
        <v>15.6</v>
      </c>
      <c r="L4" s="7"/>
      <c r="M4" s="7"/>
      <c r="N4" s="7"/>
      <c r="O4" s="7" t="s">
        <v>216</v>
      </c>
      <c r="P4" s="7">
        <v>3600000</v>
      </c>
      <c r="R4" s="4" t="s">
        <v>37</v>
      </c>
      <c r="S4" s="4"/>
      <c r="T4" s="4">
        <v>0</v>
      </c>
      <c r="U4" s="4">
        <v>1</v>
      </c>
      <c r="V4" s="4">
        <v>2</v>
      </c>
      <c r="W4" s="4">
        <v>3</v>
      </c>
      <c r="X4" s="4">
        <v>4</v>
      </c>
      <c r="Y4" s="4">
        <v>5</v>
      </c>
      <c r="Z4" s="4">
        <v>6</v>
      </c>
      <c r="AA4" s="4" t="s">
        <v>201</v>
      </c>
      <c r="AB4" s="4" t="s">
        <v>202</v>
      </c>
    </row>
    <row r="5" spans="8:28" x14ac:dyDescent="0.45">
      <c r="J5" s="7" t="s">
        <v>9</v>
      </c>
      <c r="K5" s="7">
        <v>60000</v>
      </c>
      <c r="L5" s="7">
        <v>60000</v>
      </c>
      <c r="M5" s="7">
        <v>100000</v>
      </c>
      <c r="N5" s="7">
        <v>100000</v>
      </c>
      <c r="O5" s="7">
        <v>120000</v>
      </c>
      <c r="P5" s="7">
        <v>120000</v>
      </c>
      <c r="R5" s="7"/>
      <c r="S5" s="7" t="s">
        <v>32</v>
      </c>
      <c r="T5" s="7">
        <v>200000</v>
      </c>
      <c r="U5" s="4"/>
      <c r="V5" s="4"/>
      <c r="W5" s="4"/>
      <c r="X5" s="4"/>
      <c r="Y5" s="4"/>
      <c r="Z5" s="4"/>
      <c r="AA5" s="4">
        <f>+T5</f>
        <v>200000</v>
      </c>
      <c r="AB5" s="4">
        <f>+T5</f>
        <v>200000</v>
      </c>
    </row>
    <row r="6" spans="8:28" x14ac:dyDescent="0.45">
      <c r="R6" s="7">
        <v>30</v>
      </c>
      <c r="S6" s="7" t="s">
        <v>203</v>
      </c>
      <c r="T6" s="7">
        <v>300000</v>
      </c>
      <c r="U6" s="4">
        <f t="shared" ref="U6:Z6" si="0">+-$T$6/$R$6</f>
        <v>-10000</v>
      </c>
      <c r="V6" s="4">
        <f t="shared" si="0"/>
        <v>-10000</v>
      </c>
      <c r="W6" s="4">
        <f t="shared" si="0"/>
        <v>-10000</v>
      </c>
      <c r="X6" s="4">
        <f t="shared" si="0"/>
        <v>-10000</v>
      </c>
      <c r="Y6" s="4">
        <f t="shared" si="0"/>
        <v>-10000</v>
      </c>
      <c r="Z6" s="4">
        <f t="shared" si="0"/>
        <v>-10000</v>
      </c>
      <c r="AA6" s="4">
        <f>+SUM(T6:Z6)</f>
        <v>240000</v>
      </c>
      <c r="AB6" s="4">
        <f>+AA6*1.2</f>
        <v>288000</v>
      </c>
    </row>
    <row r="7" spans="8:28" x14ac:dyDescent="0.45">
      <c r="R7" s="7">
        <v>10</v>
      </c>
      <c r="S7" s="7" t="s">
        <v>204</v>
      </c>
      <c r="T7" s="7">
        <v>5000000</v>
      </c>
      <c r="U7" s="4">
        <f t="shared" ref="U7:Z7" si="1">+-$T$7/$R$7</f>
        <v>-500000</v>
      </c>
      <c r="V7" s="4">
        <f t="shared" si="1"/>
        <v>-500000</v>
      </c>
      <c r="W7" s="4">
        <f t="shared" si="1"/>
        <v>-500000</v>
      </c>
      <c r="X7" s="4">
        <f t="shared" si="1"/>
        <v>-500000</v>
      </c>
      <c r="Y7" s="4">
        <f t="shared" si="1"/>
        <v>-500000</v>
      </c>
      <c r="Z7" s="4">
        <f t="shared" si="1"/>
        <v>-500000</v>
      </c>
      <c r="AA7" s="4">
        <f>+SUM(T7:Z7)</f>
        <v>2000000</v>
      </c>
      <c r="AB7" s="4">
        <f>+T7*20%</f>
        <v>1000000</v>
      </c>
    </row>
    <row r="8" spans="8:28" x14ac:dyDescent="0.45">
      <c r="I8" s="4"/>
      <c r="J8" s="4">
        <v>0</v>
      </c>
      <c r="K8" s="4">
        <v>1</v>
      </c>
      <c r="L8" s="4">
        <v>2</v>
      </c>
      <c r="M8" s="4">
        <v>3</v>
      </c>
      <c r="N8" s="4">
        <v>4</v>
      </c>
      <c r="O8" s="4">
        <v>5</v>
      </c>
      <c r="P8" s="4">
        <v>6</v>
      </c>
      <c r="R8" s="7">
        <v>5</v>
      </c>
      <c r="S8" s="7" t="s">
        <v>35</v>
      </c>
      <c r="T8" s="7">
        <v>100000</v>
      </c>
      <c r="U8" s="4">
        <f>+-$T$8/$R$8</f>
        <v>-20000</v>
      </c>
      <c r="V8" s="4">
        <f>+-$T$8/$R$8</f>
        <v>-20000</v>
      </c>
      <c r="W8" s="4">
        <f>+-$T$8/$R$8</f>
        <v>-20000</v>
      </c>
      <c r="X8" s="4">
        <f>+-$T$8/$R$8</f>
        <v>-20000</v>
      </c>
      <c r="Y8" s="4">
        <f>+-$T$8/$R$8</f>
        <v>-20000</v>
      </c>
      <c r="Z8" s="4"/>
      <c r="AA8" s="4">
        <f>+SUM(T8:Z8)</f>
        <v>0</v>
      </c>
      <c r="AB8" s="4">
        <f>+T8*20%</f>
        <v>20000</v>
      </c>
    </row>
    <row r="9" spans="8:28" x14ac:dyDescent="0.45">
      <c r="I9" s="4" t="s">
        <v>116</v>
      </c>
      <c r="J9" s="4"/>
      <c r="K9" s="4">
        <f>+K5*$K$3</f>
        <v>2700000</v>
      </c>
      <c r="L9" s="4">
        <f t="shared" ref="L9:P9" si="2">+L5*$K$3</f>
        <v>2700000</v>
      </c>
      <c r="M9" s="4">
        <f t="shared" si="2"/>
        <v>4500000</v>
      </c>
      <c r="N9" s="4">
        <f t="shared" si="2"/>
        <v>4500000</v>
      </c>
      <c r="O9" s="4">
        <f t="shared" si="2"/>
        <v>5400000</v>
      </c>
      <c r="P9" s="4">
        <f t="shared" si="2"/>
        <v>5400000</v>
      </c>
      <c r="R9" s="7"/>
      <c r="S9" s="7" t="s">
        <v>205</v>
      </c>
      <c r="T9" s="7"/>
      <c r="U9" s="4"/>
      <c r="V9" s="4"/>
      <c r="W9" s="4"/>
      <c r="X9" s="4"/>
      <c r="Y9" s="4">
        <f>+-T8</f>
        <v>-100000</v>
      </c>
      <c r="Z9" s="4">
        <f>+Y8</f>
        <v>-20000</v>
      </c>
      <c r="AA9" s="4">
        <f>+-Y9+Z9</f>
        <v>80000</v>
      </c>
      <c r="AB9" s="4">
        <f>+AA9</f>
        <v>80000</v>
      </c>
    </row>
    <row r="10" spans="8:28" x14ac:dyDescent="0.45">
      <c r="I10" s="6" t="s">
        <v>196</v>
      </c>
      <c r="J10" s="6"/>
      <c r="K10" s="79">
        <f>+-K5*$K$4</f>
        <v>-936000</v>
      </c>
      <c r="L10" s="79">
        <f t="shared" ref="L10" si="3">+-L5*$K$4</f>
        <v>-936000</v>
      </c>
      <c r="M10" s="79">
        <f t="shared" ref="M10:P10" si="4">+-M5*$K$4</f>
        <v>-1560000</v>
      </c>
      <c r="N10" s="79">
        <f t="shared" si="4"/>
        <v>-1560000</v>
      </c>
      <c r="O10" s="79">
        <f t="shared" si="4"/>
        <v>-1872000</v>
      </c>
      <c r="P10" s="79">
        <f t="shared" si="4"/>
        <v>-1872000</v>
      </c>
      <c r="R10" s="4"/>
      <c r="S10" s="4"/>
      <c r="T10" s="4">
        <f>+-SUM(T5:T9)</f>
        <v>-5600000</v>
      </c>
      <c r="U10" s="4">
        <f t="shared" ref="U10:AA10" si="5">+SUM(U5:U9)</f>
        <v>-530000</v>
      </c>
      <c r="V10" s="4">
        <f t="shared" si="5"/>
        <v>-530000</v>
      </c>
      <c r="W10" s="4">
        <f t="shared" si="5"/>
        <v>-530000</v>
      </c>
      <c r="X10" s="4">
        <f t="shared" si="5"/>
        <v>-530000</v>
      </c>
      <c r="Y10" s="4">
        <f t="shared" si="5"/>
        <v>-630000</v>
      </c>
      <c r="Z10" s="4">
        <f t="shared" si="5"/>
        <v>-530000</v>
      </c>
      <c r="AA10" s="4">
        <f t="shared" si="5"/>
        <v>2520000</v>
      </c>
      <c r="AB10" s="4">
        <f>+SUM(AB5:AB7,AB9)</f>
        <v>1568000</v>
      </c>
    </row>
    <row r="11" spans="8:28" x14ac:dyDescent="0.45">
      <c r="H11" s="78">
        <v>0.05</v>
      </c>
      <c r="I11" s="4" t="s">
        <v>198</v>
      </c>
      <c r="J11" s="4"/>
      <c r="K11" s="5">
        <f>+-K9*$H$11</f>
        <v>-135000</v>
      </c>
      <c r="L11" s="5">
        <f t="shared" ref="L11:P11" si="6">+-L9*$H$11</f>
        <v>-135000</v>
      </c>
      <c r="M11" s="5">
        <f t="shared" si="6"/>
        <v>-225000</v>
      </c>
      <c r="N11" s="5">
        <f t="shared" si="6"/>
        <v>-225000</v>
      </c>
      <c r="O11" s="5">
        <f t="shared" si="6"/>
        <v>-270000</v>
      </c>
      <c r="P11" s="5">
        <f t="shared" si="6"/>
        <v>-270000</v>
      </c>
    </row>
    <row r="12" spans="8:28" x14ac:dyDescent="0.45">
      <c r="I12" s="4" t="s">
        <v>76</v>
      </c>
      <c r="J12" s="4"/>
      <c r="K12" s="5">
        <f>-+$P$3</f>
        <v>-500000</v>
      </c>
      <c r="L12" s="5">
        <f t="shared" ref="L12:P12" si="7">-+$P$3</f>
        <v>-500000</v>
      </c>
      <c r="M12" s="5">
        <f t="shared" si="7"/>
        <v>-500000</v>
      </c>
      <c r="N12" s="5">
        <f t="shared" si="7"/>
        <v>-500000</v>
      </c>
      <c r="O12" s="5">
        <f t="shared" si="7"/>
        <v>-500000</v>
      </c>
      <c r="P12" s="5">
        <f t="shared" si="7"/>
        <v>-500000</v>
      </c>
    </row>
    <row r="13" spans="8:28" x14ac:dyDescent="0.45">
      <c r="I13" s="6" t="s">
        <v>26</v>
      </c>
      <c r="J13" s="6"/>
      <c r="K13" s="6">
        <f>+SUM(K9:K12)</f>
        <v>1129000</v>
      </c>
      <c r="L13" s="6">
        <f t="shared" ref="L13:P13" si="8">+SUM(L9:L12)</f>
        <v>1129000</v>
      </c>
      <c r="M13" s="6">
        <f t="shared" si="8"/>
        <v>2215000</v>
      </c>
      <c r="N13" s="6">
        <f t="shared" si="8"/>
        <v>2215000</v>
      </c>
      <c r="O13" s="6">
        <f t="shared" si="8"/>
        <v>2758000</v>
      </c>
      <c r="P13" s="6">
        <f t="shared" si="8"/>
        <v>2758000</v>
      </c>
    </row>
    <row r="14" spans="8:28" x14ac:dyDescent="0.45">
      <c r="I14" s="4" t="s">
        <v>27</v>
      </c>
      <c r="J14" s="4"/>
      <c r="K14" s="5">
        <f t="shared" ref="K14:P14" si="9">+U10</f>
        <v>-530000</v>
      </c>
      <c r="L14" s="5">
        <f t="shared" si="9"/>
        <v>-530000</v>
      </c>
      <c r="M14" s="5">
        <f t="shared" si="9"/>
        <v>-530000</v>
      </c>
      <c r="N14" s="5">
        <f t="shared" si="9"/>
        <v>-530000</v>
      </c>
      <c r="O14" s="5">
        <f t="shared" si="9"/>
        <v>-630000</v>
      </c>
      <c r="P14" s="5">
        <f t="shared" si="9"/>
        <v>-530000</v>
      </c>
      <c r="Z14" s="4"/>
      <c r="AA14" s="4">
        <f>+AB10-AA10</f>
        <v>-952000</v>
      </c>
    </row>
    <row r="15" spans="8:28" x14ac:dyDescent="0.45">
      <c r="I15" s="6" t="s">
        <v>207</v>
      </c>
      <c r="J15" s="6"/>
      <c r="K15" s="6">
        <f>+SUM(K13:K14)</f>
        <v>599000</v>
      </c>
      <c r="L15" s="6">
        <f t="shared" ref="L15:P15" si="10">+SUM(L13:L14)</f>
        <v>599000</v>
      </c>
      <c r="M15" s="6">
        <f t="shared" si="10"/>
        <v>1685000</v>
      </c>
      <c r="N15" s="6">
        <f t="shared" si="10"/>
        <v>1685000</v>
      </c>
      <c r="O15" s="6">
        <f t="shared" si="10"/>
        <v>2128000</v>
      </c>
      <c r="P15" s="6">
        <f t="shared" si="10"/>
        <v>2228000</v>
      </c>
      <c r="Z15" s="4" t="s">
        <v>206</v>
      </c>
      <c r="AA15" s="4">
        <f>-AA14*P2</f>
        <v>238000</v>
      </c>
    </row>
    <row r="16" spans="8:28" x14ac:dyDescent="0.45">
      <c r="I16" s="4" t="s">
        <v>70</v>
      </c>
      <c r="J16" s="4"/>
      <c r="K16" s="4">
        <v>0</v>
      </c>
      <c r="L16" s="4">
        <v>0</v>
      </c>
      <c r="M16" s="4">
        <v>0</v>
      </c>
      <c r="N16" s="4">
        <f t="shared" ref="N16:P16" si="11">+-N15*$P$2</f>
        <v>-421250</v>
      </c>
      <c r="O16" s="4">
        <f t="shared" si="11"/>
        <v>-532000</v>
      </c>
      <c r="P16" s="4">
        <f t="shared" si="11"/>
        <v>-557000</v>
      </c>
      <c r="Z16" s="4" t="s">
        <v>226</v>
      </c>
      <c r="AA16" s="4">
        <f>+AB8*P2</f>
        <v>5000</v>
      </c>
    </row>
    <row r="17" spans="9:24" x14ac:dyDescent="0.45">
      <c r="I17" s="6" t="s">
        <v>208</v>
      </c>
      <c r="J17" s="6"/>
      <c r="K17" s="6">
        <f t="shared" ref="K17:P17" si="12">+SUM(K15:K16)</f>
        <v>599000</v>
      </c>
      <c r="L17" s="6">
        <f t="shared" si="12"/>
        <v>599000</v>
      </c>
      <c r="M17" s="6">
        <f t="shared" si="12"/>
        <v>1685000</v>
      </c>
      <c r="N17" s="6">
        <f t="shared" si="12"/>
        <v>1263750</v>
      </c>
      <c r="O17" s="6">
        <f t="shared" si="12"/>
        <v>1596000</v>
      </c>
      <c r="P17" s="6">
        <f t="shared" si="12"/>
        <v>1671000</v>
      </c>
    </row>
    <row r="18" spans="9:24" x14ac:dyDescent="0.45">
      <c r="I18" s="4" t="s">
        <v>27</v>
      </c>
      <c r="J18" s="4"/>
      <c r="K18" s="4">
        <f>+-K14</f>
        <v>530000</v>
      </c>
      <c r="L18" s="4">
        <f t="shared" ref="L18:P18" si="13">+-L14</f>
        <v>530000</v>
      </c>
      <c r="M18" s="4">
        <f t="shared" si="13"/>
        <v>530000</v>
      </c>
      <c r="N18" s="4">
        <f t="shared" si="13"/>
        <v>530000</v>
      </c>
      <c r="O18" s="4">
        <f t="shared" si="13"/>
        <v>630000</v>
      </c>
      <c r="P18" s="4">
        <f t="shared" si="13"/>
        <v>530000</v>
      </c>
    </row>
    <row r="19" spans="9:24" x14ac:dyDescent="0.45">
      <c r="I19" s="6" t="s">
        <v>186</v>
      </c>
      <c r="J19" s="6"/>
      <c r="K19" s="6">
        <f>+SUM(K17:K18)</f>
        <v>1129000</v>
      </c>
      <c r="L19" s="6">
        <f t="shared" ref="L19:P19" si="14">+SUM(L17:L18)</f>
        <v>1129000</v>
      </c>
      <c r="M19" s="6">
        <f t="shared" si="14"/>
        <v>2215000</v>
      </c>
      <c r="N19" s="6">
        <f t="shared" si="14"/>
        <v>1793750</v>
      </c>
      <c r="O19" s="6">
        <f t="shared" si="14"/>
        <v>2226000</v>
      </c>
      <c r="P19" s="6">
        <f t="shared" si="14"/>
        <v>2201000</v>
      </c>
    </row>
    <row r="20" spans="9:24" x14ac:dyDescent="0.45">
      <c r="I20" s="4" t="s">
        <v>37</v>
      </c>
      <c r="J20" s="4">
        <f>+T10</f>
        <v>-5600000</v>
      </c>
      <c r="K20" s="4"/>
      <c r="L20" s="4"/>
      <c r="M20" s="4"/>
      <c r="N20" s="4"/>
      <c r="O20" s="4"/>
      <c r="P20" s="4"/>
    </row>
    <row r="21" spans="9:24" x14ac:dyDescent="0.45">
      <c r="I21" s="4" t="s">
        <v>209</v>
      </c>
      <c r="J21" s="4">
        <f>+-(K9-J9)*45/360</f>
        <v>-337500</v>
      </c>
      <c r="K21" s="4">
        <f t="shared" ref="K21:O21" si="15">+-(L9-K9)*45/360</f>
        <v>0</v>
      </c>
      <c r="L21" s="4">
        <f t="shared" si="15"/>
        <v>-225000</v>
      </c>
      <c r="M21" s="4">
        <f t="shared" si="15"/>
        <v>0</v>
      </c>
      <c r="N21" s="4">
        <f t="shared" si="15"/>
        <v>-112500</v>
      </c>
      <c r="O21" s="4">
        <f t="shared" si="15"/>
        <v>0</v>
      </c>
      <c r="P21" s="4"/>
    </row>
    <row r="22" spans="9:24" x14ac:dyDescent="0.45">
      <c r="I22" s="4" t="s">
        <v>210</v>
      </c>
      <c r="J22" s="4"/>
      <c r="K22" s="4"/>
      <c r="L22" s="4"/>
      <c r="M22" s="4"/>
      <c r="N22" s="4"/>
      <c r="O22" s="4"/>
      <c r="P22" s="4">
        <f>+AB10</f>
        <v>1568000</v>
      </c>
    </row>
    <row r="23" spans="9:24" x14ac:dyDescent="0.45">
      <c r="I23" s="4" t="s">
        <v>211</v>
      </c>
      <c r="J23" s="4"/>
      <c r="K23" s="4"/>
      <c r="L23" s="4"/>
      <c r="M23" s="4"/>
      <c r="N23" s="4"/>
      <c r="O23" s="4"/>
      <c r="P23">
        <f>+-SUM(J21:O21)</f>
        <v>675000</v>
      </c>
    </row>
    <row r="24" spans="9:24" x14ac:dyDescent="0.45">
      <c r="I24" s="4" t="s">
        <v>193</v>
      </c>
      <c r="J24" s="4"/>
      <c r="K24" s="4"/>
      <c r="L24" s="4"/>
      <c r="M24" s="4"/>
      <c r="N24" s="4"/>
      <c r="O24" s="4">
        <f>+-AA16</f>
        <v>-5000</v>
      </c>
      <c r="P24" s="4">
        <f>+AA15</f>
        <v>238000</v>
      </c>
    </row>
    <row r="25" spans="9:24" x14ac:dyDescent="0.45">
      <c r="I25" s="6" t="s">
        <v>212</v>
      </c>
      <c r="J25" s="6">
        <f>+SUM(J19:J24)</f>
        <v>-5937500</v>
      </c>
      <c r="K25" s="6">
        <f t="shared" ref="K25:P25" si="16">+SUM(K19:K24)</f>
        <v>1129000</v>
      </c>
      <c r="L25" s="6">
        <f t="shared" si="16"/>
        <v>904000</v>
      </c>
      <c r="M25" s="6">
        <f t="shared" si="16"/>
        <v>2215000</v>
      </c>
      <c r="N25" s="6">
        <f t="shared" si="16"/>
        <v>1681250</v>
      </c>
      <c r="O25" s="6">
        <f t="shared" si="16"/>
        <v>2221000</v>
      </c>
      <c r="P25" s="6">
        <f t="shared" si="16"/>
        <v>4682000</v>
      </c>
    </row>
    <row r="26" spans="9:24" x14ac:dyDescent="0.45">
      <c r="I26" s="4"/>
      <c r="J26" s="4"/>
      <c r="K26" s="4"/>
      <c r="L26" s="4"/>
      <c r="M26" s="4"/>
      <c r="N26" s="4"/>
      <c r="O26" s="4"/>
      <c r="P26" s="4"/>
    </row>
    <row r="27" spans="9:24" x14ac:dyDescent="0.45">
      <c r="I27" s="6" t="s">
        <v>213</v>
      </c>
      <c r="J27" s="27">
        <f>+IRR(J25:P25)</f>
        <v>0.2097693145432773</v>
      </c>
      <c r="K27" s="6"/>
      <c r="L27" s="6"/>
      <c r="M27" s="6"/>
      <c r="N27" s="4"/>
      <c r="O27" s="4"/>
      <c r="P27" s="4"/>
    </row>
    <row r="28" spans="9:24" x14ac:dyDescent="0.45">
      <c r="I28" s="95" t="s">
        <v>214</v>
      </c>
      <c r="J28" s="96"/>
      <c r="K28" s="96"/>
      <c r="L28" s="96"/>
      <c r="M28" s="97"/>
      <c r="N28" s="4"/>
      <c r="O28" s="4"/>
      <c r="P28" s="4"/>
    </row>
    <row r="31" spans="9:24" x14ac:dyDescent="0.45">
      <c r="I31" s="50" t="s">
        <v>215</v>
      </c>
      <c r="W31" t="s">
        <v>219</v>
      </c>
      <c r="X31" s="77">
        <v>0.12</v>
      </c>
    </row>
    <row r="33" spans="9:26" x14ac:dyDescent="0.45">
      <c r="J33" t="s">
        <v>11</v>
      </c>
      <c r="K33" t="s">
        <v>12</v>
      </c>
      <c r="L33" t="s">
        <v>13</v>
      </c>
      <c r="M33" t="s">
        <v>14</v>
      </c>
      <c r="N33" t="s">
        <v>15</v>
      </c>
      <c r="O33" t="s">
        <v>16</v>
      </c>
      <c r="P33" t="s">
        <v>221</v>
      </c>
    </row>
    <row r="34" spans="9:26" x14ac:dyDescent="0.45">
      <c r="I34" s="6" t="s">
        <v>212</v>
      </c>
      <c r="J34" s="6">
        <f>+J25</f>
        <v>-5937500</v>
      </c>
      <c r="K34" s="6">
        <f t="shared" ref="K34:P34" si="17">+K25</f>
        <v>1129000</v>
      </c>
      <c r="L34" s="6">
        <f t="shared" si="17"/>
        <v>904000</v>
      </c>
      <c r="M34" s="6">
        <f t="shared" si="17"/>
        <v>2215000</v>
      </c>
      <c r="N34" s="6">
        <f t="shared" si="17"/>
        <v>1681250</v>
      </c>
      <c r="O34" s="6">
        <f t="shared" si="17"/>
        <v>2221000</v>
      </c>
      <c r="P34" s="6">
        <f t="shared" si="17"/>
        <v>4682000</v>
      </c>
      <c r="S34" s="89" t="s">
        <v>217</v>
      </c>
      <c r="T34" s="89"/>
      <c r="U34" s="89"/>
      <c r="V34" s="89"/>
      <c r="W34" s="89"/>
      <c r="X34" s="89"/>
    </row>
    <row r="35" spans="9:26" x14ac:dyDescent="0.45">
      <c r="I35" t="s">
        <v>47</v>
      </c>
      <c r="J35">
        <f>-P4-J34</f>
        <v>2337500</v>
      </c>
      <c r="T35">
        <v>0</v>
      </c>
      <c r="U35">
        <v>1</v>
      </c>
      <c r="V35">
        <v>2</v>
      </c>
      <c r="W35">
        <v>3</v>
      </c>
      <c r="X35">
        <v>4</v>
      </c>
      <c r="Y35">
        <v>5</v>
      </c>
      <c r="Z35">
        <v>6</v>
      </c>
    </row>
    <row r="36" spans="9:26" x14ac:dyDescent="0.45">
      <c r="I36" t="s">
        <v>218</v>
      </c>
      <c r="L36">
        <f>+V37</f>
        <v>-467500</v>
      </c>
      <c r="M36">
        <f t="shared" ref="M36:P36" si="18">+W37</f>
        <v>-467500</v>
      </c>
      <c r="N36">
        <f t="shared" si="18"/>
        <v>-467500</v>
      </c>
      <c r="O36">
        <f t="shared" si="18"/>
        <v>-467500</v>
      </c>
      <c r="P36">
        <f t="shared" si="18"/>
        <v>-467500</v>
      </c>
      <c r="S36" t="s">
        <v>47</v>
      </c>
      <c r="T36">
        <f>+J35</f>
        <v>2337500</v>
      </c>
    </row>
    <row r="37" spans="9:26" x14ac:dyDescent="0.45">
      <c r="I37" t="s">
        <v>219</v>
      </c>
      <c r="K37">
        <f>+U39</f>
        <v>-280500</v>
      </c>
      <c r="L37">
        <f t="shared" ref="L37:P37" si="19">+V39</f>
        <v>-280500</v>
      </c>
      <c r="M37">
        <f t="shared" si="19"/>
        <v>-224400</v>
      </c>
      <c r="N37">
        <f t="shared" si="19"/>
        <v>-168300</v>
      </c>
      <c r="O37">
        <f t="shared" si="19"/>
        <v>-112200</v>
      </c>
      <c r="P37">
        <f t="shared" si="19"/>
        <v>-56100</v>
      </c>
      <c r="S37" t="s">
        <v>218</v>
      </c>
      <c r="V37">
        <f>+-$T$36/5</f>
        <v>-467500</v>
      </c>
      <c r="W37">
        <f t="shared" ref="W37:Z37" si="20">+-$T$36/5</f>
        <v>-467500</v>
      </c>
      <c r="X37">
        <f t="shared" si="20"/>
        <v>-467500</v>
      </c>
      <c r="Y37">
        <f t="shared" si="20"/>
        <v>-467500</v>
      </c>
      <c r="Z37">
        <f t="shared" si="20"/>
        <v>-467500</v>
      </c>
    </row>
    <row r="38" spans="9:26" x14ac:dyDescent="0.45">
      <c r="I38" t="s">
        <v>70</v>
      </c>
      <c r="K38">
        <v>0</v>
      </c>
      <c r="L38">
        <v>0</v>
      </c>
      <c r="M38">
        <v>0</v>
      </c>
      <c r="N38">
        <f>+-N37*$P$2</f>
        <v>42075</v>
      </c>
      <c r="O38">
        <f t="shared" ref="O38:P38" si="21">+-O37*$P$2</f>
        <v>28050</v>
      </c>
      <c r="P38">
        <f t="shared" si="21"/>
        <v>14025</v>
      </c>
      <c r="S38" t="s">
        <v>49</v>
      </c>
      <c r="T38">
        <f>+T36</f>
        <v>2337500</v>
      </c>
      <c r="U38">
        <f>+T38+U37</f>
        <v>2337500</v>
      </c>
      <c r="V38">
        <f t="shared" ref="V38:Z38" si="22">+U38+V37</f>
        <v>1870000</v>
      </c>
      <c r="W38">
        <f t="shared" si="22"/>
        <v>1402500</v>
      </c>
      <c r="X38">
        <f t="shared" si="22"/>
        <v>935000</v>
      </c>
      <c r="Y38">
        <f t="shared" si="22"/>
        <v>467500</v>
      </c>
      <c r="Z38">
        <f t="shared" si="22"/>
        <v>0</v>
      </c>
    </row>
    <row r="39" spans="9:26" x14ac:dyDescent="0.45">
      <c r="I39" s="50" t="s">
        <v>222</v>
      </c>
      <c r="J39" s="50">
        <f>+SUM(J34:J38)</f>
        <v>-3600000</v>
      </c>
      <c r="K39" s="50">
        <f t="shared" ref="K39:P39" si="23">+SUM(K34:K38)</f>
        <v>848500</v>
      </c>
      <c r="L39" s="50">
        <f t="shared" si="23"/>
        <v>156000</v>
      </c>
      <c r="M39" s="50">
        <f t="shared" si="23"/>
        <v>1523100</v>
      </c>
      <c r="N39" s="50">
        <f t="shared" si="23"/>
        <v>1087525</v>
      </c>
      <c r="O39" s="50">
        <f t="shared" si="23"/>
        <v>1669350</v>
      </c>
      <c r="P39" s="50">
        <f t="shared" si="23"/>
        <v>4172425</v>
      </c>
      <c r="S39" t="s">
        <v>220</v>
      </c>
      <c r="U39">
        <f>+-T38*$X$31</f>
        <v>-280500</v>
      </c>
      <c r="V39">
        <f t="shared" ref="V39:Z39" si="24">+-U38*$X$31</f>
        <v>-280500</v>
      </c>
      <c r="W39">
        <f t="shared" si="24"/>
        <v>-224400</v>
      </c>
      <c r="X39">
        <f t="shared" si="24"/>
        <v>-168300</v>
      </c>
      <c r="Y39">
        <f t="shared" si="24"/>
        <v>-112200</v>
      </c>
      <c r="Z39">
        <f t="shared" si="24"/>
        <v>-56100</v>
      </c>
    </row>
    <row r="40" spans="9:26" x14ac:dyDescent="0.45">
      <c r="I40" t="s">
        <v>223</v>
      </c>
      <c r="J40">
        <v>1</v>
      </c>
      <c r="K40">
        <f>+J40*1.06</f>
        <v>1.06</v>
      </c>
      <c r="L40">
        <f t="shared" ref="L40:P40" si="25">+K40*1.06</f>
        <v>1.1236000000000002</v>
      </c>
      <c r="M40">
        <f t="shared" si="25"/>
        <v>1.1910160000000003</v>
      </c>
      <c r="N40">
        <f t="shared" si="25"/>
        <v>1.2624769600000003</v>
      </c>
      <c r="O40">
        <f t="shared" si="25"/>
        <v>1.3382255776000005</v>
      </c>
      <c r="P40">
        <f t="shared" si="25"/>
        <v>1.4185191122560006</v>
      </c>
    </row>
    <row r="41" spans="9:26" x14ac:dyDescent="0.45">
      <c r="I41" s="50" t="s">
        <v>224</v>
      </c>
      <c r="J41" s="50">
        <f>+J39/J40</f>
        <v>-3600000</v>
      </c>
      <c r="K41" s="50">
        <f t="shared" ref="K41:P41" si="26">+K39/K40</f>
        <v>800471.69811320747</v>
      </c>
      <c r="L41" s="50">
        <f t="shared" si="26"/>
        <v>138839.44464222141</v>
      </c>
      <c r="M41" s="50">
        <f t="shared" si="26"/>
        <v>1278824.1299864985</v>
      </c>
      <c r="N41" s="50">
        <f t="shared" si="26"/>
        <v>861421.66111292818</v>
      </c>
      <c r="O41" s="50">
        <f t="shared" si="26"/>
        <v>1247435.4308739521</v>
      </c>
      <c r="P41" s="50">
        <f t="shared" si="26"/>
        <v>2941394.9829440163</v>
      </c>
    </row>
    <row r="42" spans="9:26" x14ac:dyDescent="0.45">
      <c r="I42" t="s">
        <v>225</v>
      </c>
      <c r="J42">
        <f>+J41</f>
        <v>-3600000</v>
      </c>
      <c r="K42">
        <f t="shared" ref="K42:P42" si="27">+J42+K41</f>
        <v>-2799528.3018867923</v>
      </c>
      <c r="L42">
        <f t="shared" si="27"/>
        <v>-2660688.8572445707</v>
      </c>
      <c r="M42">
        <f t="shared" si="27"/>
        <v>-1381864.7272580722</v>
      </c>
      <c r="N42">
        <f t="shared" si="27"/>
        <v>-520443.06614514405</v>
      </c>
      <c r="O42" s="80">
        <f t="shared" si="27"/>
        <v>726992.36472880805</v>
      </c>
      <c r="P42">
        <f t="shared" si="27"/>
        <v>3668387.3476728243</v>
      </c>
    </row>
    <row r="44" spans="9:26" x14ac:dyDescent="0.45">
      <c r="I44" s="98" t="s">
        <v>227</v>
      </c>
      <c r="J44" s="99"/>
      <c r="K44" s="100"/>
    </row>
    <row r="46" spans="9:26" ht="14.65" thickBot="1" x14ac:dyDescent="0.5"/>
    <row r="47" spans="9:26" ht="14.65" thickBot="1" x14ac:dyDescent="0.5">
      <c r="I47" s="50" t="s">
        <v>228</v>
      </c>
      <c r="K47" t="s">
        <v>233</v>
      </c>
      <c r="L47" s="81" t="s">
        <v>229</v>
      </c>
      <c r="M47" s="82"/>
      <c r="N47" s="82"/>
      <c r="O47" s="83"/>
      <c r="P47" s="6" t="s">
        <v>232</v>
      </c>
      <c r="Q47" s="84">
        <f>(-N12-N14)/(K3-(K4-R50))</f>
        <v>32543.443917851502</v>
      </c>
    </row>
    <row r="48" spans="9:26" ht="14.65" thickBot="1" x14ac:dyDescent="0.5">
      <c r="L48" s="2" t="s">
        <v>230</v>
      </c>
      <c r="M48" s="1"/>
      <c r="N48" s="1"/>
      <c r="O48" s="1"/>
    </row>
    <row r="50" spans="9:18" x14ac:dyDescent="0.45">
      <c r="P50" s="101" t="s">
        <v>231</v>
      </c>
      <c r="Q50" s="101"/>
      <c r="R50" s="4">
        <f>+-M11/M5</f>
        <v>2.25</v>
      </c>
    </row>
    <row r="54" spans="9:18" x14ac:dyDescent="0.45">
      <c r="I54" s="50" t="s">
        <v>234</v>
      </c>
      <c r="J54" s="50"/>
      <c r="K54" s="50" t="s">
        <v>235</v>
      </c>
      <c r="L54" s="50"/>
      <c r="M54" s="50"/>
    </row>
    <row r="56" spans="9:18" x14ac:dyDescent="0.45">
      <c r="J56" s="4" t="s">
        <v>236</v>
      </c>
      <c r="K56" s="4">
        <f>+-M12</f>
        <v>500000</v>
      </c>
    </row>
    <row r="57" spans="9:18" x14ac:dyDescent="0.45">
      <c r="J57" s="4" t="s">
        <v>237</v>
      </c>
      <c r="K57" s="4">
        <f>+-M10</f>
        <v>1560000</v>
      </c>
    </row>
    <row r="58" spans="9:18" x14ac:dyDescent="0.45">
      <c r="J58" s="4" t="s">
        <v>48</v>
      </c>
      <c r="K58" s="4">
        <f>+-M14</f>
        <v>530000</v>
      </c>
    </row>
    <row r="59" spans="9:18" x14ac:dyDescent="0.45">
      <c r="J59" s="4" t="s">
        <v>50</v>
      </c>
      <c r="K59" s="4">
        <f>+-M37</f>
        <v>224400</v>
      </c>
    </row>
    <row r="60" spans="9:18" x14ac:dyDescent="0.45">
      <c r="J60" s="4" t="s">
        <v>238</v>
      </c>
      <c r="K60" s="4">
        <f>+SUM(K56:K59)</f>
        <v>2814400</v>
      </c>
    </row>
    <row r="61" spans="9:18" x14ac:dyDescent="0.45">
      <c r="J61" s="4" t="s">
        <v>9</v>
      </c>
      <c r="K61" s="4">
        <f>+M5</f>
        <v>100000</v>
      </c>
    </row>
    <row r="63" spans="9:18" x14ac:dyDescent="0.45">
      <c r="J63" s="94" t="s">
        <v>239</v>
      </c>
      <c r="K63" s="94"/>
      <c r="L63" s="6">
        <f>+K60/K61</f>
        <v>28.143999999999998</v>
      </c>
    </row>
  </sheetData>
  <mergeCells count="6">
    <mergeCell ref="J63:K63"/>
    <mergeCell ref="S3:Y3"/>
    <mergeCell ref="I28:M28"/>
    <mergeCell ref="S34:X34"/>
    <mergeCell ref="I44:K44"/>
    <mergeCell ref="P50:Q50"/>
  </mergeCells>
  <phoneticPr fontId="2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Simples</vt:lpstr>
      <vt:lpstr>Min. Precio de Venta</vt:lpstr>
      <vt:lpstr>Otra forma de prestamo</vt:lpstr>
      <vt:lpstr>Julio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juan fernandez</cp:lastModifiedBy>
  <dcterms:created xsi:type="dcterms:W3CDTF">2015-06-05T18:19:34Z</dcterms:created>
  <dcterms:modified xsi:type="dcterms:W3CDTF">2023-09-21T17:34:30Z</dcterms:modified>
</cp:coreProperties>
</file>